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чальник ПЕВ\2019-2024 Фінансовий план підприєм\фінплан 2024\звіт за 9 міс 2024\"/>
    </mc:Choice>
  </mc:AlternateContent>
  <xr:revisionPtr revIDLastSave="0" documentId="13_ncr:1_{FE158DB6-7C91-4E97-A95B-9347F14F810E}" xr6:coauthVersionLast="47" xr6:coauthVersionMax="47" xr10:uidLastSave="{00000000-0000-0000-0000-000000000000}"/>
  <bookViews>
    <workbookView xWindow="-120" yWindow="-120" windowWidth="29040" windowHeight="15840" tabRatio="838" activeTab="2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Формування'!$3:$4</definedName>
    <definedName name="_xlnm.Print_Titles" localSheetId="2">'Розшифровка 2 до формування'!$3:$4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_xlnm.Print_Area" localSheetId="1">'Розшифровка 1 до Формування'!$A$1:$H$109</definedName>
    <definedName name="_xlnm.Print_Area" localSheetId="2">'Розшифровка 2 до формування'!$A$1:$H$209</definedName>
    <definedName name="_xlnm.Print_Area" localSheetId="4">'Розшифровка за джерелами'!$A$1:$N$37</definedName>
    <definedName name="_xlnm.Print_Area" localSheetId="3">'Розшифровка кап'!$A$1:$G$58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22" l="1"/>
  <c r="L38" i="22"/>
  <c r="I102" i="26"/>
  <c r="G102" i="26" l="1"/>
  <c r="G20" i="26"/>
  <c r="N6" i="9"/>
  <c r="J25" i="24"/>
  <c r="M12" i="26"/>
  <c r="L12" i="26"/>
  <c r="K12" i="26"/>
  <c r="K11" i="26"/>
  <c r="L35" i="9" l="1"/>
  <c r="H31" i="9"/>
  <c r="L34" i="9"/>
  <c r="L33" i="9"/>
  <c r="L32" i="9"/>
  <c r="L31" i="9"/>
  <c r="L29" i="9"/>
  <c r="F9" i="26" l="1"/>
  <c r="F25" i="14"/>
  <c r="F22" i="14"/>
  <c r="F16" i="14"/>
  <c r="F9" i="14"/>
  <c r="F15" i="14" s="1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L6" i="9"/>
  <c r="K6" i="9"/>
  <c r="E79" i="26"/>
  <c r="G9" i="14" l="1"/>
  <c r="F31" i="14"/>
  <c r="E6" i="24"/>
  <c r="H26" i="9"/>
  <c r="J6" i="9" l="1"/>
  <c r="H6" i="9"/>
  <c r="E53" i="24"/>
  <c r="I45" i="24"/>
  <c r="E28" i="24"/>
  <c r="H28" i="24" s="1"/>
  <c r="E44" i="24"/>
  <c r="F68" i="22"/>
  <c r="F38" i="22"/>
  <c r="F29" i="22"/>
  <c r="F58" i="22"/>
  <c r="F52" i="22"/>
  <c r="F39" i="22"/>
  <c r="F28" i="22"/>
  <c r="F33" i="22"/>
  <c r="F35" i="22"/>
  <c r="F36" i="22"/>
  <c r="F44" i="22"/>
  <c r="F43" i="22"/>
  <c r="F42" i="22"/>
  <c r="F41" i="22"/>
  <c r="F31" i="22"/>
  <c r="F62" i="22"/>
  <c r="F71" i="22"/>
  <c r="F61" i="22"/>
  <c r="F60" i="22"/>
  <c r="F59" i="22"/>
  <c r="F56" i="22"/>
  <c r="F54" i="22"/>
  <c r="F53" i="22"/>
  <c r="F51" i="22"/>
  <c r="F50" i="22"/>
  <c r="F47" i="22"/>
  <c r="F46" i="22"/>
  <c r="F32" i="22"/>
  <c r="C46" i="14"/>
  <c r="F28" i="26" l="1"/>
  <c r="F94" i="26"/>
  <c r="F188" i="26" l="1"/>
  <c r="F57" i="26" l="1"/>
  <c r="F96" i="14"/>
  <c r="F95" i="14"/>
  <c r="F94" i="14"/>
  <c r="F89" i="14"/>
  <c r="F85" i="14"/>
  <c r="D96" i="14"/>
  <c r="D94" i="14"/>
  <c r="D95" i="14"/>
  <c r="F30" i="26" l="1"/>
  <c r="F24" i="26" l="1"/>
  <c r="F29" i="26"/>
  <c r="F33" i="26"/>
  <c r="F25" i="26"/>
  <c r="F6" i="22" l="1"/>
  <c r="E20" i="22"/>
  <c r="E96" i="14" l="1"/>
  <c r="E95" i="14"/>
  <c r="E94" i="14"/>
  <c r="C44" i="24"/>
  <c r="C6" i="24"/>
  <c r="D193" i="26"/>
  <c r="D192" i="26" s="1"/>
  <c r="D200" i="26"/>
  <c r="D198" i="26" s="1"/>
  <c r="D196" i="26"/>
  <c r="D195" i="26" s="1"/>
  <c r="D185" i="26"/>
  <c r="D186" i="26"/>
  <c r="D88" i="26"/>
  <c r="D86" i="26" s="1"/>
  <c r="D28" i="26"/>
  <c r="D25" i="26"/>
  <c r="D92" i="22"/>
  <c r="D69" i="22"/>
  <c r="D67" i="22"/>
  <c r="D66" i="22"/>
  <c r="D65" i="22"/>
  <c r="D60" i="22"/>
  <c r="D59" i="22"/>
  <c r="D58" i="22"/>
  <c r="D57" i="22"/>
  <c r="D56" i="22"/>
  <c r="D54" i="22"/>
  <c r="D53" i="22"/>
  <c r="D52" i="22"/>
  <c r="D51" i="22"/>
  <c r="D50" i="22"/>
  <c r="D49" i="22"/>
  <c r="D47" i="22"/>
  <c r="D46" i="22"/>
  <c r="D45" i="22" s="1"/>
  <c r="D44" i="22"/>
  <c r="D43" i="22"/>
  <c r="D42" i="22"/>
  <c r="D41" i="22"/>
  <c r="D39" i="22"/>
  <c r="D37" i="22"/>
  <c r="D36" i="22"/>
  <c r="D35" i="22"/>
  <c r="D34" i="22"/>
  <c r="D33" i="22"/>
  <c r="D32" i="22"/>
  <c r="D31" i="22"/>
  <c r="D30" i="22"/>
  <c r="D28" i="22"/>
  <c r="D6" i="22" l="1"/>
  <c r="C96" i="14"/>
  <c r="C95" i="14"/>
  <c r="C94" i="14"/>
  <c r="C93" i="14"/>
  <c r="K26" i="26"/>
  <c r="K29" i="26"/>
  <c r="K28" i="26"/>
  <c r="K27" i="26"/>
  <c r="K21" i="26"/>
  <c r="K20" i="26"/>
  <c r="K34" i="26" s="1"/>
  <c r="K13" i="26"/>
  <c r="K37" i="26" s="1"/>
  <c r="E85" i="14"/>
  <c r="K36" i="26" l="1"/>
  <c r="M32" i="9"/>
  <c r="M31" i="9"/>
  <c r="L26" i="9"/>
  <c r="L28" i="9"/>
  <c r="M28" i="9" s="1"/>
  <c r="J35" i="9" l="1"/>
  <c r="F64" i="14" l="1"/>
  <c r="F57" i="14"/>
  <c r="F52" i="14"/>
  <c r="E54" i="24"/>
  <c r="E49" i="24" s="1"/>
  <c r="F100" i="26"/>
  <c r="D9" i="14"/>
  <c r="F200" i="26" l="1"/>
  <c r="F198" i="26" s="1"/>
  <c r="F181" i="26"/>
  <c r="F12" i="22" l="1"/>
  <c r="F153" i="26" l="1"/>
  <c r="G177" i="26" l="1"/>
  <c r="F79" i="26" l="1"/>
  <c r="F78" i="26" s="1"/>
  <c r="G109" i="26" l="1"/>
  <c r="F108" i="26"/>
  <c r="D49" i="24"/>
  <c r="G49" i="24" s="1"/>
  <c r="E57" i="26"/>
  <c r="G35" i="26"/>
  <c r="H35" i="26"/>
  <c r="E104" i="22"/>
  <c r="E86" i="22"/>
  <c r="E45" i="22"/>
  <c r="G60" i="22"/>
  <c r="H60" i="22"/>
  <c r="G108" i="26" l="1"/>
  <c r="F99" i="26"/>
  <c r="E6" i="22"/>
  <c r="C89" i="14" l="1"/>
  <c r="C85" i="14"/>
  <c r="C81" i="14"/>
  <c r="C57" i="14"/>
  <c r="C52" i="14"/>
  <c r="C45" i="14"/>
  <c r="C25" i="14"/>
  <c r="C22" i="14"/>
  <c r="C42" i="14" s="1"/>
  <c r="C16" i="14"/>
  <c r="C9" i="14"/>
  <c r="C43" i="14" s="1"/>
  <c r="C49" i="24"/>
  <c r="G201" i="26"/>
  <c r="G200" i="26"/>
  <c r="G198" i="26"/>
  <c r="E9" i="26"/>
  <c r="D165" i="26"/>
  <c r="D164" i="26" s="1"/>
  <c r="D162" i="26" s="1"/>
  <c r="C15" i="14" l="1"/>
  <c r="C31" i="14" s="1"/>
  <c r="C36" i="14" s="1"/>
  <c r="C39" i="14" s="1"/>
  <c r="C40" i="14"/>
  <c r="D153" i="26"/>
  <c r="D141" i="26"/>
  <c r="D140" i="26" s="1"/>
  <c r="D138" i="26" s="1"/>
  <c r="D79" i="26"/>
  <c r="D57" i="26"/>
  <c r="D86" i="22" l="1"/>
  <c r="D22" i="22"/>
  <c r="F43" i="14" l="1"/>
  <c r="F46" i="14" l="1"/>
  <c r="H35" i="9" l="1"/>
  <c r="F68" i="14" l="1"/>
  <c r="E5" i="24"/>
  <c r="D22" i="14"/>
  <c r="M11" i="26"/>
  <c r="F45" i="22" l="1"/>
  <c r="F176" i="26"/>
  <c r="F175" i="26" l="1"/>
  <c r="F185" i="26"/>
  <c r="F125" i="26"/>
  <c r="F36" i="26"/>
  <c r="F23" i="26" s="1"/>
  <c r="F180" i="26" l="1"/>
  <c r="M14" i="26"/>
  <c r="F173" i="26"/>
  <c r="F22" i="22"/>
  <c r="H35" i="22"/>
  <c r="E185" i="26"/>
  <c r="G188" i="26"/>
  <c r="H188" i="26"/>
  <c r="E51" i="26"/>
  <c r="E23" i="26"/>
  <c r="G16" i="26"/>
  <c r="H16" i="26" s="1"/>
  <c r="G72" i="22"/>
  <c r="H72" i="22"/>
  <c r="G95" i="14"/>
  <c r="E8" i="26" l="1"/>
  <c r="L14" i="26"/>
  <c r="E9" i="14"/>
  <c r="E15" i="14" s="1"/>
  <c r="E16" i="14"/>
  <c r="E22" i="14"/>
  <c r="E42" i="14" s="1"/>
  <c r="E25" i="14"/>
  <c r="E43" i="14"/>
  <c r="E31" i="14" l="1"/>
  <c r="E36" i="14" s="1"/>
  <c r="E39" i="14" s="1"/>
  <c r="E40" i="14"/>
  <c r="D170" i="26" l="1"/>
  <c r="D73" i="26"/>
  <c r="D71" i="26" s="1"/>
  <c r="D51" i="26"/>
  <c r="D23" i="26"/>
  <c r="K14" i="26" s="1"/>
  <c r="D9" i="26"/>
  <c r="D104" i="22"/>
  <c r="C64" i="14"/>
  <c r="C68" i="14" s="1"/>
  <c r="D12" i="22" l="1"/>
  <c r="H107" i="22"/>
  <c r="G107" i="22"/>
  <c r="H106" i="22"/>
  <c r="G106" i="22"/>
  <c r="H105" i="22"/>
  <c r="G105" i="22"/>
  <c r="H98" i="22"/>
  <c r="G98" i="22"/>
  <c r="H97" i="22"/>
  <c r="G97" i="22"/>
  <c r="H96" i="22"/>
  <c r="G96" i="22"/>
  <c r="H95" i="22"/>
  <c r="G95" i="22"/>
  <c r="H94" i="22"/>
  <c r="G94" i="22"/>
  <c r="H93" i="22"/>
  <c r="G93" i="22"/>
  <c r="H92" i="22"/>
  <c r="G92" i="22"/>
  <c r="H85" i="22"/>
  <c r="G85" i="22"/>
  <c r="H84" i="22"/>
  <c r="G84" i="22"/>
  <c r="H83" i="22"/>
  <c r="G83" i="22"/>
  <c r="H78" i="22"/>
  <c r="G78" i="22"/>
  <c r="H76" i="22"/>
  <c r="G76" i="22"/>
  <c r="H74" i="22"/>
  <c r="G74" i="22"/>
  <c r="H71" i="22"/>
  <c r="G71" i="22"/>
  <c r="H70" i="22"/>
  <c r="G70" i="22"/>
  <c r="H58" i="22"/>
  <c r="G58" i="22"/>
  <c r="H57" i="22"/>
  <c r="G57" i="22"/>
  <c r="H55" i="22"/>
  <c r="G55" i="22"/>
  <c r="H49" i="22"/>
  <c r="G49" i="22"/>
  <c r="H40" i="22"/>
  <c r="G40" i="22"/>
  <c r="H38" i="22"/>
  <c r="G38" i="22"/>
  <c r="H37" i="22"/>
  <c r="G37" i="22"/>
  <c r="G35" i="22"/>
  <c r="H34" i="22"/>
  <c r="G34" i="22"/>
  <c r="H33" i="22"/>
  <c r="G33" i="22"/>
  <c r="H32" i="22"/>
  <c r="G32" i="22"/>
  <c r="H30" i="22"/>
  <c r="G30" i="22"/>
  <c r="H28" i="22"/>
  <c r="G28" i="22"/>
  <c r="H23" i="22"/>
  <c r="G23" i="22"/>
  <c r="H21" i="22"/>
  <c r="G21" i="22"/>
  <c r="G8" i="22" l="1"/>
  <c r="H9" i="22"/>
  <c r="G9" i="22"/>
  <c r="H8" i="22" l="1"/>
  <c r="M29" i="26"/>
  <c r="L29" i="26"/>
  <c r="M28" i="26"/>
  <c r="L28" i="26"/>
  <c r="M27" i="26"/>
  <c r="L27" i="26"/>
  <c r="M21" i="26"/>
  <c r="M36" i="26" s="1"/>
  <c r="L21" i="26"/>
  <c r="M20" i="26"/>
  <c r="L20" i="26"/>
  <c r="F73" i="26"/>
  <c r="F71" i="26" s="1"/>
  <c r="L36" i="26" l="1"/>
  <c r="M34" i="26"/>
  <c r="M13" i="26"/>
  <c r="M37" i="26" s="1"/>
  <c r="L13" i="26"/>
  <c r="L37" i="26" s="1"/>
  <c r="L11" i="26"/>
  <c r="L34" i="26" s="1"/>
  <c r="H207" i="26"/>
  <c r="G207" i="26"/>
  <c r="H205" i="26"/>
  <c r="G205" i="26"/>
  <c r="H194" i="26"/>
  <c r="G194" i="26"/>
  <c r="H193" i="26"/>
  <c r="G193" i="26"/>
  <c r="H192" i="26"/>
  <c r="G192" i="26"/>
  <c r="H191" i="26"/>
  <c r="G191" i="26"/>
  <c r="H187" i="26"/>
  <c r="G187" i="26"/>
  <c r="H186" i="26"/>
  <c r="G186" i="26"/>
  <c r="H183" i="26"/>
  <c r="G183" i="26"/>
  <c r="H182" i="26"/>
  <c r="G182" i="26"/>
  <c r="H177" i="26"/>
  <c r="H173" i="26"/>
  <c r="G173" i="26"/>
  <c r="H172" i="26"/>
  <c r="G172" i="26"/>
  <c r="H171" i="26"/>
  <c r="G171" i="26"/>
  <c r="H152" i="26"/>
  <c r="G152" i="26"/>
  <c r="H151" i="26"/>
  <c r="G151" i="26"/>
  <c r="H150" i="26"/>
  <c r="G150" i="26"/>
  <c r="H147" i="26"/>
  <c r="G147" i="26"/>
  <c r="H146" i="26"/>
  <c r="G146" i="26"/>
  <c r="H145" i="26"/>
  <c r="G145" i="26"/>
  <c r="H144" i="26"/>
  <c r="G144" i="26"/>
  <c r="H143" i="26"/>
  <c r="G143" i="26"/>
  <c r="H137" i="26"/>
  <c r="G137" i="26"/>
  <c r="H75" i="26"/>
  <c r="G75" i="26"/>
  <c r="H74" i="26"/>
  <c r="G74" i="26"/>
  <c r="H70" i="26"/>
  <c r="G70" i="26"/>
  <c r="D78" i="26"/>
  <c r="D169" i="26"/>
  <c r="D167" i="26" s="1"/>
  <c r="H121" i="26"/>
  <c r="G121" i="26"/>
  <c r="H120" i="26"/>
  <c r="G120" i="26"/>
  <c r="D94" i="26"/>
  <c r="F119" i="26"/>
  <c r="F118" i="26" s="1"/>
  <c r="F116" i="26" s="1"/>
  <c r="E119" i="26"/>
  <c r="E118" i="26" s="1"/>
  <c r="E116" i="26" s="1"/>
  <c r="D119" i="26"/>
  <c r="G117" i="26"/>
  <c r="D118" i="26" l="1"/>
  <c r="D116" i="26" s="1"/>
  <c r="H119" i="26"/>
  <c r="G119" i="26"/>
  <c r="H118" i="26" l="1"/>
  <c r="G118" i="26"/>
  <c r="I26" i="9"/>
  <c r="I6" i="9"/>
  <c r="I35" i="9" s="1"/>
  <c r="D6" i="24"/>
  <c r="D5" i="24" l="1"/>
  <c r="H116" i="26"/>
  <c r="G116" i="26"/>
  <c r="F81" i="14"/>
  <c r="F93" i="14" s="1"/>
  <c r="F42" i="14"/>
  <c r="F36" i="14"/>
  <c r="F39" i="14" s="1"/>
  <c r="F104" i="22"/>
  <c r="H50" i="22" l="1"/>
  <c r="G50" i="22"/>
  <c r="H59" i="22"/>
  <c r="G59" i="22"/>
  <c r="H69" i="22"/>
  <c r="G69" i="22"/>
  <c r="H41" i="22"/>
  <c r="G41" i="22"/>
  <c r="G29" i="22"/>
  <c r="H29" i="22"/>
  <c r="H51" i="22"/>
  <c r="G51" i="22"/>
  <c r="H62" i="22"/>
  <c r="G62" i="22"/>
  <c r="H87" i="22"/>
  <c r="G87" i="22"/>
  <c r="G42" i="22"/>
  <c r="H42" i="22"/>
  <c r="H52" i="22"/>
  <c r="G52" i="22"/>
  <c r="H65" i="22"/>
  <c r="G65" i="22"/>
  <c r="H88" i="22"/>
  <c r="G88" i="22"/>
  <c r="H43" i="22"/>
  <c r="G43" i="22"/>
  <c r="H53" i="22"/>
  <c r="G53" i="22"/>
  <c r="H66" i="22"/>
  <c r="G66" i="22"/>
  <c r="H90" i="22"/>
  <c r="G90" i="22"/>
  <c r="H44" i="22"/>
  <c r="G44" i="22"/>
  <c r="H46" i="22"/>
  <c r="G46" i="22"/>
  <c r="H54" i="22"/>
  <c r="G54" i="22"/>
  <c r="H67" i="22"/>
  <c r="G67" i="22"/>
  <c r="H91" i="22"/>
  <c r="G91" i="22"/>
  <c r="G36" i="22"/>
  <c r="H36" i="22"/>
  <c r="H47" i="22"/>
  <c r="G47" i="22"/>
  <c r="H56" i="22"/>
  <c r="G56" i="22"/>
  <c r="G48" i="22"/>
  <c r="H48" i="22"/>
  <c r="H31" i="22"/>
  <c r="G31" i="22"/>
  <c r="H39" i="22"/>
  <c r="G39" i="22"/>
  <c r="F40" i="14"/>
  <c r="E12" i="22" l="1"/>
  <c r="E111" i="26"/>
  <c r="E181" i="26"/>
  <c r="E130" i="26"/>
  <c r="E73" i="26"/>
  <c r="G181" i="26" l="1"/>
  <c r="H181" i="26"/>
  <c r="E71" i="26"/>
  <c r="H73" i="26"/>
  <c r="G73" i="26"/>
  <c r="H71" i="26" l="1"/>
  <c r="G71" i="26"/>
  <c r="K35" i="9"/>
  <c r="L27" i="9"/>
  <c r="K27" i="9"/>
  <c r="K26" i="9"/>
  <c r="L20" i="9"/>
  <c r="K20" i="9"/>
  <c r="L19" i="9"/>
  <c r="K19" i="9"/>
  <c r="L18" i="9"/>
  <c r="K18" i="9"/>
  <c r="L17" i="9"/>
  <c r="K17" i="9"/>
  <c r="F50" i="24"/>
  <c r="M27" i="9" l="1"/>
  <c r="M17" i="9"/>
  <c r="M18" i="9"/>
  <c r="M19" i="9"/>
  <c r="M26" i="9"/>
  <c r="M20" i="9"/>
  <c r="N18" i="9"/>
  <c r="N27" i="9"/>
  <c r="N17" i="9"/>
  <c r="N19" i="9"/>
  <c r="N26" i="9"/>
  <c r="F49" i="24"/>
  <c r="N20" i="9"/>
  <c r="M6" i="9"/>
  <c r="F10" i="24"/>
  <c r="F68" i="26"/>
  <c r="M30" i="26" s="1"/>
  <c r="G185" i="26" l="1"/>
  <c r="H185" i="26"/>
  <c r="E176" i="26"/>
  <c r="G176" i="26" s="1"/>
  <c r="D176" i="26"/>
  <c r="D175" i="26" s="1"/>
  <c r="F169" i="26"/>
  <c r="E170" i="26"/>
  <c r="F93" i="26"/>
  <c r="F91" i="26" s="1"/>
  <c r="F167" i="26" l="1"/>
  <c r="E175" i="26"/>
  <c r="G175" i="26" s="1"/>
  <c r="H176" i="26"/>
  <c r="H142" i="26"/>
  <c r="G142" i="26"/>
  <c r="E169" i="26"/>
  <c r="E167" i="26" s="1"/>
  <c r="H170" i="26"/>
  <c r="G170" i="26"/>
  <c r="F111" i="26"/>
  <c r="F110" i="26" l="1"/>
  <c r="M23" i="26"/>
  <c r="H169" i="26"/>
  <c r="H175" i="26"/>
  <c r="G169" i="26"/>
  <c r="H167" i="26"/>
  <c r="G167" i="26"/>
  <c r="E68" i="26"/>
  <c r="E65" i="26" l="1"/>
  <c r="L30" i="26"/>
  <c r="F8" i="26"/>
  <c r="C5" i="24" l="1"/>
  <c r="D181" i="26"/>
  <c r="D136" i="26"/>
  <c r="K18" i="26" s="1"/>
  <c r="D135" i="26"/>
  <c r="D131" i="26"/>
  <c r="D130" i="26" s="1"/>
  <c r="D125" i="26"/>
  <c r="D111" i="26"/>
  <c r="D93" i="26"/>
  <c r="D91" i="26" s="1"/>
  <c r="D76" i="26"/>
  <c r="D68" i="26"/>
  <c r="D20" i="22"/>
  <c r="D57" i="14"/>
  <c r="C48" i="14"/>
  <c r="H132" i="26"/>
  <c r="H96" i="26"/>
  <c r="G96" i="26"/>
  <c r="H95" i="26"/>
  <c r="G95" i="26"/>
  <c r="H52" i="26"/>
  <c r="H41" i="26"/>
  <c r="H22" i="26"/>
  <c r="H18" i="26"/>
  <c r="F35" i="9"/>
  <c r="M35" i="9" s="1"/>
  <c r="D110" i="26" l="1"/>
  <c r="K23" i="26"/>
  <c r="D124" i="26"/>
  <c r="D122" i="26" s="1"/>
  <c r="D65" i="26"/>
  <c r="K25" i="26" s="1"/>
  <c r="K30" i="26"/>
  <c r="D100" i="26"/>
  <c r="K10" i="26" s="1"/>
  <c r="K33" i="26" s="1"/>
  <c r="D202" i="26"/>
  <c r="D82" i="22"/>
  <c r="D50" i="26"/>
  <c r="K17" i="26" s="1"/>
  <c r="D180" i="26"/>
  <c r="D178" i="26" s="1"/>
  <c r="D5" i="22"/>
  <c r="D27" i="22"/>
  <c r="D8" i="26"/>
  <c r="K38" i="26" l="1"/>
  <c r="K40" i="26" s="1"/>
  <c r="D99" i="26"/>
  <c r="D97" i="26" s="1"/>
  <c r="D6" i="26"/>
  <c r="D5" i="26" s="1"/>
  <c r="F44" i="24"/>
  <c r="G44" i="24"/>
  <c r="K9" i="26" l="1"/>
  <c r="K7" i="26" s="1"/>
  <c r="G22" i="26"/>
  <c r="E22" i="22"/>
  <c r="E5" i="22" s="1"/>
  <c r="H63" i="26"/>
  <c r="F135" i="26"/>
  <c r="F133" i="26" l="1"/>
  <c r="H22" i="22"/>
  <c r="G22" i="22"/>
  <c r="M38" i="26"/>
  <c r="E49" i="14" l="1"/>
  <c r="E48" i="14"/>
  <c r="E47" i="14"/>
  <c r="E46" i="14"/>
  <c r="E45" i="14"/>
  <c r="F49" i="14"/>
  <c r="F48" i="14"/>
  <c r="F47" i="14"/>
  <c r="F45" i="14"/>
  <c r="D49" i="14"/>
  <c r="D48" i="14"/>
  <c r="D47" i="14"/>
  <c r="D46" i="14"/>
  <c r="D45" i="14"/>
  <c r="C49" i="14"/>
  <c r="C47" i="14"/>
  <c r="F86" i="22" l="1"/>
  <c r="F82" i="22"/>
  <c r="F51" i="26" l="1"/>
  <c r="F50" i="26" s="1"/>
  <c r="F65" i="26" l="1"/>
  <c r="G126" i="26" l="1"/>
  <c r="G13" i="26" l="1"/>
  <c r="E206" i="26" l="1"/>
  <c r="L25" i="26" s="1"/>
  <c r="F206" i="26"/>
  <c r="M25" i="26" s="1"/>
  <c r="H206" i="26" l="1"/>
  <c r="G206" i="26"/>
  <c r="E82" i="22"/>
  <c r="H45" i="22" l="1"/>
  <c r="G45" i="22"/>
  <c r="H82" i="22"/>
  <c r="G82" i="22"/>
  <c r="D89" i="14"/>
  <c r="D85" i="14"/>
  <c r="D81" i="14"/>
  <c r="D93" i="14" l="1"/>
  <c r="F97" i="26"/>
  <c r="D25" i="14" l="1"/>
  <c r="D42" i="14"/>
  <c r="D16" i="14"/>
  <c r="D15" i="14"/>
  <c r="D31" i="14" l="1"/>
  <c r="D36" i="14" s="1"/>
  <c r="D39" i="14" s="1"/>
  <c r="D43" i="14"/>
  <c r="D40" i="14" s="1"/>
  <c r="H13" i="14" l="1"/>
  <c r="F204" i="26"/>
  <c r="E204" i="26"/>
  <c r="E202" i="26" s="1"/>
  <c r="F202" i="26" l="1"/>
  <c r="G204" i="26"/>
  <c r="H204" i="26"/>
  <c r="H14" i="14"/>
  <c r="H53" i="14"/>
  <c r="H32" i="14"/>
  <c r="H27" i="14"/>
  <c r="H28" i="14"/>
  <c r="G8" i="24"/>
  <c r="G9" i="24"/>
  <c r="G7" i="24"/>
  <c r="H127" i="26"/>
  <c r="H128" i="26"/>
  <c r="H129" i="26"/>
  <c r="H126" i="26"/>
  <c r="H103" i="26"/>
  <c r="H104" i="26"/>
  <c r="H105" i="26"/>
  <c r="H106" i="26"/>
  <c r="H107" i="26"/>
  <c r="H101" i="26"/>
  <c r="H83" i="26"/>
  <c r="H62" i="26"/>
  <c r="H25" i="26"/>
  <c r="H26" i="26"/>
  <c r="H27" i="26"/>
  <c r="H28" i="26"/>
  <c r="H29" i="26"/>
  <c r="H30" i="26"/>
  <c r="H32" i="26"/>
  <c r="H33" i="26"/>
  <c r="H34" i="26"/>
  <c r="H36" i="26"/>
  <c r="H37" i="26"/>
  <c r="H38" i="26"/>
  <c r="H40" i="26"/>
  <c r="H42" i="26"/>
  <c r="H44" i="26"/>
  <c r="H45" i="26"/>
  <c r="H24" i="26"/>
  <c r="G10" i="26"/>
  <c r="H10" i="26" s="1"/>
  <c r="G11" i="26"/>
  <c r="H11" i="26" s="1"/>
  <c r="G12" i="26"/>
  <c r="H12" i="26" s="1"/>
  <c r="G14" i="26"/>
  <c r="H14" i="26" s="1"/>
  <c r="G15" i="26"/>
  <c r="H15" i="26" s="1"/>
  <c r="H202" i="26" l="1"/>
  <c r="G202" i="26"/>
  <c r="E94" i="26"/>
  <c r="F130" i="26"/>
  <c r="F8" i="24"/>
  <c r="F9" i="24"/>
  <c r="F7" i="24"/>
  <c r="H94" i="26" l="1"/>
  <c r="G94" i="26"/>
  <c r="E93" i="26"/>
  <c r="E91" i="26" s="1"/>
  <c r="N35" i="9" l="1"/>
  <c r="F27" i="22"/>
  <c r="F124" i="26" l="1"/>
  <c r="G37" i="26"/>
  <c r="F122" i="26" l="1"/>
  <c r="M17" i="26"/>
  <c r="F6" i="26"/>
  <c r="F178" i="26"/>
  <c r="E125" i="26" l="1"/>
  <c r="E100" i="26"/>
  <c r="E99" i="26" s="1"/>
  <c r="E78" i="26"/>
  <c r="L23" i="26"/>
  <c r="L38" i="26" s="1"/>
  <c r="H86" i="22" l="1"/>
  <c r="G86" i="22"/>
  <c r="E76" i="26"/>
  <c r="E124" i="26"/>
  <c r="E122" i="26" s="1"/>
  <c r="H125" i="26"/>
  <c r="H124" i="26" l="1"/>
  <c r="F141" i="26" l="1"/>
  <c r="E180" i="26"/>
  <c r="E141" i="26"/>
  <c r="L10" i="26" s="1"/>
  <c r="E136" i="26"/>
  <c r="L18" i="26" s="1"/>
  <c r="H20" i="26"/>
  <c r="H21" i="26"/>
  <c r="F140" i="26" l="1"/>
  <c r="M9" i="26" s="1"/>
  <c r="M7" i="26" s="1"/>
  <c r="M10" i="26"/>
  <c r="F138" i="26"/>
  <c r="E140" i="26"/>
  <c r="L9" i="26" s="1"/>
  <c r="L33" i="26"/>
  <c r="L40" i="26" s="1"/>
  <c r="E178" i="26"/>
  <c r="H180" i="26"/>
  <c r="G180" i="26"/>
  <c r="H141" i="26"/>
  <c r="G141" i="26"/>
  <c r="E135" i="26"/>
  <c r="G21" i="26"/>
  <c r="H178" i="26" l="1"/>
  <c r="G178" i="26"/>
  <c r="H140" i="26"/>
  <c r="G140" i="26"/>
  <c r="G135" i="26"/>
  <c r="H135" i="26"/>
  <c r="E138" i="26"/>
  <c r="E133" i="26"/>
  <c r="F76" i="26"/>
  <c r="F5" i="26" s="1"/>
  <c r="H79" i="26"/>
  <c r="H7" i="22"/>
  <c r="G7" i="22"/>
  <c r="H82" i="14"/>
  <c r="H83" i="14"/>
  <c r="H84" i="14"/>
  <c r="H86" i="14"/>
  <c r="H87" i="14"/>
  <c r="H88" i="14"/>
  <c r="H90" i="14"/>
  <c r="H91" i="14"/>
  <c r="H92" i="14"/>
  <c r="G82" i="14"/>
  <c r="G83" i="14"/>
  <c r="G84" i="14"/>
  <c r="G86" i="14"/>
  <c r="G87" i="14"/>
  <c r="G88" i="14"/>
  <c r="G90" i="14"/>
  <c r="G91" i="14"/>
  <c r="G92" i="14"/>
  <c r="G71" i="14"/>
  <c r="G72" i="14"/>
  <c r="G73" i="14"/>
  <c r="G74" i="14"/>
  <c r="G75" i="14"/>
  <c r="G7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G32" i="14"/>
  <c r="G33" i="14"/>
  <c r="G34" i="14"/>
  <c r="G35" i="14"/>
  <c r="G37" i="14"/>
  <c r="G38" i="14"/>
  <c r="G41" i="14"/>
  <c r="G26" i="14"/>
  <c r="G27" i="14"/>
  <c r="G28" i="14"/>
  <c r="G29" i="14"/>
  <c r="G13" i="14"/>
  <c r="G14" i="14"/>
  <c r="G138" i="26" l="1"/>
  <c r="H138" i="26"/>
  <c r="G133" i="26"/>
  <c r="H133" i="26"/>
  <c r="F136" i="26"/>
  <c r="E110" i="26"/>
  <c r="E97" i="26" s="1"/>
  <c r="E27" i="22"/>
  <c r="F20" i="22"/>
  <c r="F5" i="22" s="1"/>
  <c r="G5" i="22" s="1"/>
  <c r="H136" i="26" l="1"/>
  <c r="G136" i="26"/>
  <c r="M18" i="26"/>
  <c r="M33" i="26" s="1"/>
  <c r="M40" i="26" s="1"/>
  <c r="G20" i="22"/>
  <c r="H20" i="22"/>
  <c r="H27" i="22"/>
  <c r="G27" i="22"/>
  <c r="H104" i="22"/>
  <c r="G104" i="22"/>
  <c r="H93" i="26"/>
  <c r="G93" i="26"/>
  <c r="H23" i="26"/>
  <c r="G9" i="26"/>
  <c r="H9" i="26"/>
  <c r="E50" i="26"/>
  <c r="L17" i="26" l="1"/>
  <c r="L7" i="26" s="1"/>
  <c r="E6" i="26"/>
  <c r="E5" i="26" s="1"/>
  <c r="G91" i="26"/>
  <c r="H34" i="14"/>
  <c r="E81" i="14" l="1"/>
  <c r="F50" i="14"/>
  <c r="F5" i="24"/>
  <c r="H65" i="26"/>
  <c r="G65" i="26"/>
  <c r="G63" i="26"/>
  <c r="G62" i="26"/>
  <c r="H60" i="26"/>
  <c r="G60" i="26"/>
  <c r="H59" i="26"/>
  <c r="G59" i="26"/>
  <c r="G58" i="26"/>
  <c r="H57" i="26"/>
  <c r="G57" i="26"/>
  <c r="G132" i="26"/>
  <c r="H131" i="26"/>
  <c r="G131" i="26"/>
  <c r="H130" i="26"/>
  <c r="G130" i="26"/>
  <c r="G129" i="26"/>
  <c r="G128" i="26"/>
  <c r="G127" i="26"/>
  <c r="G125" i="26"/>
  <c r="G124" i="26"/>
  <c r="G123" i="26"/>
  <c r="H122" i="26"/>
  <c r="G122" i="26"/>
  <c r="H115" i="26"/>
  <c r="G115" i="26"/>
  <c r="H114" i="26"/>
  <c r="G114" i="26"/>
  <c r="H113" i="26"/>
  <c r="G113" i="26"/>
  <c r="H112" i="26"/>
  <c r="G112" i="26"/>
  <c r="H111" i="26"/>
  <c r="G111" i="26"/>
  <c r="H110" i="26"/>
  <c r="G110" i="26"/>
  <c r="G106" i="26"/>
  <c r="G105" i="26"/>
  <c r="G104" i="26"/>
  <c r="G103" i="26"/>
  <c r="G101" i="26"/>
  <c r="H100" i="26"/>
  <c r="G100" i="26"/>
  <c r="H99" i="26"/>
  <c r="G99" i="26"/>
  <c r="G98" i="26"/>
  <c r="G97" i="26"/>
  <c r="H85" i="26"/>
  <c r="G85" i="26"/>
  <c r="H84" i="26"/>
  <c r="G84" i="26"/>
  <c r="G83" i="26"/>
  <c r="H76" i="26"/>
  <c r="G76" i="26"/>
  <c r="G79" i="26"/>
  <c r="H56" i="26"/>
  <c r="G56" i="26"/>
  <c r="H55" i="26"/>
  <c r="G55" i="26"/>
  <c r="G53" i="26"/>
  <c r="H53" i="26" s="1"/>
  <c r="G52" i="26"/>
  <c r="H51" i="26"/>
  <c r="G51" i="26"/>
  <c r="H50" i="26"/>
  <c r="G50" i="26"/>
  <c r="G45" i="26"/>
  <c r="G44" i="26"/>
  <c r="G42" i="26"/>
  <c r="G41" i="26"/>
  <c r="G40" i="26"/>
  <c r="G38" i="26"/>
  <c r="G36" i="26"/>
  <c r="G34" i="26"/>
  <c r="G33" i="26"/>
  <c r="G32" i="26"/>
  <c r="G30" i="26"/>
  <c r="G29" i="26"/>
  <c r="G28" i="26"/>
  <c r="G27" i="26"/>
  <c r="G26" i="26"/>
  <c r="G25" i="26"/>
  <c r="G24" i="26"/>
  <c r="G23" i="26"/>
  <c r="G18" i="26"/>
  <c r="H17" i="26"/>
  <c r="G17" i="26"/>
  <c r="G5" i="26" l="1"/>
  <c r="H5" i="26"/>
  <c r="G94" i="14"/>
  <c r="H94" i="14"/>
  <c r="H96" i="14"/>
  <c r="G96" i="14"/>
  <c r="H81" i="14"/>
  <c r="G81" i="14"/>
  <c r="H95" i="14"/>
  <c r="G6" i="24"/>
  <c r="F6" i="24"/>
  <c r="G107" i="26"/>
  <c r="H97" i="26"/>
  <c r="G78" i="26"/>
  <c r="H78" i="26"/>
  <c r="G40" i="14" l="1"/>
  <c r="G39" i="14"/>
  <c r="G36" i="14"/>
  <c r="D70" i="14" l="1"/>
  <c r="D64" i="14"/>
  <c r="D52" i="14"/>
  <c r="D50" i="14"/>
  <c r="D68" i="14" l="1"/>
  <c r="H25" i="14"/>
  <c r="H16" i="14"/>
  <c r="G8" i="14"/>
  <c r="H8" i="14"/>
  <c r="G10" i="14"/>
  <c r="H10" i="14"/>
  <c r="G11" i="14"/>
  <c r="H11" i="14"/>
  <c r="G12" i="14"/>
  <c r="H12" i="14"/>
  <c r="G17" i="14"/>
  <c r="H17" i="14"/>
  <c r="G18" i="14"/>
  <c r="H18" i="14"/>
  <c r="G19" i="14"/>
  <c r="H19" i="14"/>
  <c r="G20" i="14"/>
  <c r="G21" i="14"/>
  <c r="H21" i="14"/>
  <c r="G23" i="14"/>
  <c r="G24" i="14"/>
  <c r="H24" i="14"/>
  <c r="G30" i="14"/>
  <c r="H30" i="14"/>
  <c r="H69" i="26"/>
  <c r="G69" i="26"/>
  <c r="H68" i="26"/>
  <c r="G68" i="26"/>
  <c r="H67" i="26"/>
  <c r="G67" i="26"/>
  <c r="G25" i="14" l="1"/>
  <c r="G16" i="14"/>
  <c r="H9" i="14"/>
  <c r="H15" i="14"/>
  <c r="H42" i="14"/>
  <c r="G42" i="14"/>
  <c r="G22" i="14"/>
  <c r="H22" i="14"/>
  <c r="H31" i="14" l="1"/>
  <c r="G15" i="14"/>
  <c r="H43" i="14"/>
  <c r="G43" i="14"/>
  <c r="G31" i="14" l="1"/>
  <c r="H66" i="26" l="1"/>
  <c r="G66" i="26"/>
  <c r="N25" i="26" s="1"/>
  <c r="H8" i="26"/>
  <c r="G8" i="26"/>
  <c r="G6" i="26"/>
  <c r="H12" i="22"/>
  <c r="G12" i="22"/>
  <c r="H6" i="22"/>
  <c r="G6" i="22"/>
  <c r="H5" i="22"/>
  <c r="H6" i="26" l="1"/>
  <c r="E50" i="14" l="1"/>
  <c r="C50" i="14"/>
  <c r="H49" i="14"/>
  <c r="G49" i="14"/>
  <c r="H48" i="14"/>
  <c r="G48" i="14"/>
  <c r="H47" i="14"/>
  <c r="G47" i="14"/>
  <c r="H46" i="14"/>
  <c r="G46" i="14"/>
  <c r="H45" i="14"/>
  <c r="G45" i="14"/>
  <c r="G85" i="14" l="1"/>
  <c r="H85" i="14"/>
  <c r="H50" i="14"/>
  <c r="G50" i="14"/>
  <c r="E89" i="14" l="1"/>
  <c r="E93" i="14" s="1"/>
  <c r="H89" i="14" l="1"/>
  <c r="G89" i="14"/>
  <c r="G5" i="24"/>
  <c r="H93" i="14" l="1"/>
  <c r="G93" i="14"/>
  <c r="H72" i="14"/>
  <c r="H59" i="14"/>
  <c r="H66" i="14"/>
  <c r="H67" i="14"/>
  <c r="C70" i="14" l="1"/>
  <c r="E70" i="14"/>
  <c r="F70" i="14"/>
  <c r="G70" i="14" l="1"/>
  <c r="H70" i="14"/>
  <c r="E64" i="14"/>
  <c r="E57" i="14"/>
  <c r="E52" i="14"/>
  <c r="G64" i="14" l="1"/>
  <c r="G57" i="14"/>
  <c r="H64" i="14"/>
  <c r="H57" i="14"/>
  <c r="E68" i="14"/>
  <c r="H55" i="14" l="1"/>
  <c r="H52" i="14" l="1"/>
  <c r="G52" i="14"/>
  <c r="G68" i="14"/>
  <c r="H68" i="14" l="1"/>
</calcChain>
</file>

<file path=xl/sharedStrings.xml><?xml version="1.0" encoding="utf-8"?>
<sst xmlns="http://schemas.openxmlformats.org/spreadsheetml/2006/main" count="688" uniqueCount="409">
  <si>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</si>
  <si>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</si>
  <si>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</si>
  <si>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</si>
  <si>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</si>
  <si>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</si>
  <si>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</si>
  <si>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</si>
  <si>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</si>
  <si>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</si>
  <si>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</si>
  <si>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</si>
  <si>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</si>
  <si>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</si>
  <si>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</si>
  <si>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</si>
  <si>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</si>
  <si>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</si>
  <si>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</si>
  <si>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</si>
  <si>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</si>
  <si>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</si>
  <si>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</si>
  <si>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</si>
  <si>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</si>
  <si>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</si>
  <si>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</si>
  <si>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</si>
  <si>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</si>
  <si>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</si>
  <si>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</si>
  <si>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</si>
  <si>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</si>
  <si>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</si>
  <si>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</si>
  <si>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</si>
  <si>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</si>
  <si>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</si>
  <si>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</si>
  <si>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</si>
  <si>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</si>
  <si>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</si>
  <si>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</si>
  <si>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</si>
  <si>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</si>
  <si>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</si>
  <si>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</si>
  <si>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</si>
  <si>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</si>
  <si>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</si>
  <si>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</si>
  <si>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</si>
  <si>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</si>
  <si>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</si>
  <si>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</si>
  <si>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</si>
  <si>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</si>
  <si>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</si>
  <si>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</si>
  <si>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</si>
  <si>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</si>
  <si>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</si>
  <si>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</si>
  <si>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</si>
  <si>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</si>
  <si>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</si>
  <si>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</si>
  <si>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</si>
  <si>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</si>
  <si>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</si>
  <si>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</si>
  <si>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</si>
  <si>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</si>
  <si>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</si>
  <si>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</si>
  <si>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</si>
  <si>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</si>
  <si>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</si>
  <si>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2.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</si>
  <si>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</si>
  <si>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</si>
  <si>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</si>
  <si>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</si>
  <si>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</si>
  <si>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</si>
  <si>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</si>
  <si>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</si>
  <si>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5.</t>
  </si>
  <si>
    <t>6.1</t>
  </si>
  <si>
    <t>Матеріальні витрати, усього, у т.ч.:</t>
  </si>
  <si>
    <t>5.1</t>
  </si>
  <si>
    <t>факт</t>
  </si>
  <si>
    <t>відхилення, +/-</t>
  </si>
  <si>
    <t>виконання, 
%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</si>
  <si>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</si>
  <si>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</si>
  <si>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</si>
  <si>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</si>
  <si>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</si>
  <si>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</si>
  <si>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</si>
  <si>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</si>
  <si>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</si>
  <si>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</si>
  <si>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Усього:</t>
  </si>
  <si>
    <t>6.</t>
  </si>
  <si>
    <t>7.</t>
  </si>
  <si>
    <t xml:space="preserve">нарахування амортизації на безоплатно отримані активи </t>
  </si>
  <si>
    <t>медикаменти та перев'язувальні матеріали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</si>
  <si>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</si>
  <si>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</si>
  <si>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</si>
  <si>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страхування водіїв, автотранспорту, на випадок СНіДу, членів добровільних пожежних дружин, на випадок гепатиту</t>
  </si>
  <si>
    <t>витрати на зв'язок</t>
  </si>
  <si>
    <t>послуги архіву</t>
  </si>
  <si>
    <t>послуги охорони</t>
  </si>
  <si>
    <t>метрологічна повірка медичного обладнання</t>
  </si>
  <si>
    <t>обслуговування ліфту</t>
  </si>
  <si>
    <t>дератизація, дезинфекція</t>
  </si>
  <si>
    <t>сигналізація</t>
  </si>
  <si>
    <t>обстеження медичних працівників</t>
  </si>
  <si>
    <t>заходи по радіаційній безпеці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</si>
  <si>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</si>
  <si>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</si>
  <si>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</si>
  <si>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</si>
  <si>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>навчання у сфері цивільного захисту та охорони праці</t>
  </si>
  <si>
    <t>обстеження ургентних хворих (КТ)</t>
  </si>
  <si>
    <t>відшкодування пільгових пенсій</t>
  </si>
  <si>
    <t xml:space="preserve">продукти харчування </t>
  </si>
  <si>
    <t>Директор КНП "ВМКЛ ШМД"</t>
  </si>
  <si>
    <t xml:space="preserve">оплата природнього газу  </t>
  </si>
  <si>
    <t>лікарняні листи перші 5 днів</t>
  </si>
  <si>
    <t>Кошти отримані від реалізації майна</t>
  </si>
  <si>
    <t>9.</t>
  </si>
  <si>
    <t>10.</t>
  </si>
  <si>
    <t>Розшифровка до розділу  IV. "Капітальні інвестиції за джерелами надходження"</t>
  </si>
  <si>
    <t>папір</t>
  </si>
  <si>
    <t>миючі засоби</t>
  </si>
  <si>
    <t>будівельні матеріали</t>
  </si>
  <si>
    <t>господарські товари, енергозберігаючі лампочки</t>
  </si>
  <si>
    <t>м'який інвентар</t>
  </si>
  <si>
    <t>ТО диз.генератора, газового обладн., аварійного освітлення, перев.і випробування пожеж.гідрантів, ел.вимірювання</t>
  </si>
  <si>
    <t>оренда рентгенустановки</t>
  </si>
  <si>
    <t>Інші адміністративні витрати, в т.ч.:</t>
  </si>
  <si>
    <t>перезарядка картриджів</t>
  </si>
  <si>
    <t>ТО ПК, оргтехніки</t>
  </si>
  <si>
    <t>банківське обслуговування, обслуговування особового рахунку</t>
  </si>
  <si>
    <t>Інші адміністративні витрати, усього, у т.ч.:</t>
  </si>
  <si>
    <t>Собівартість реалізованої продукції (товарів, робіт, послуг):</t>
  </si>
  <si>
    <t>придбання (виготовлення) основних засобів, усього, у т.ч.:</t>
  </si>
  <si>
    <t>план</t>
  </si>
  <si>
    <t>кошти отримані від реалізації майна</t>
  </si>
  <si>
    <t>Інші фінансові доходи, усього, у тому числі:</t>
  </si>
  <si>
    <t>2.1</t>
  </si>
  <si>
    <t>інформаційно-консультативні послуги</t>
  </si>
  <si>
    <t>гістологічне дослідження (патанатомія)</t>
  </si>
  <si>
    <t>1.1.1</t>
  </si>
  <si>
    <t>1.1.2</t>
  </si>
  <si>
    <t>1.1.3</t>
  </si>
  <si>
    <t>1.2.1</t>
  </si>
  <si>
    <t>1.2.2</t>
  </si>
  <si>
    <t>1.2.3</t>
  </si>
  <si>
    <t>1.3</t>
  </si>
  <si>
    <t>2.1.2</t>
  </si>
  <si>
    <t>4.1</t>
  </si>
  <si>
    <t>4.1.1</t>
  </si>
  <si>
    <t>Кошти орендарів (відшкодування за енергоносії)</t>
  </si>
  <si>
    <t>9.1</t>
  </si>
  <si>
    <t>супровід програмного забезпечення</t>
  </si>
  <si>
    <t>навчання у сфері цивільного захисту, охорони праці</t>
  </si>
  <si>
    <t>обстеження мед.працівників</t>
  </si>
  <si>
    <t>Залишок матеріалів, придбаних у минулих періодах за рахунок коштів медичної субвенції з державного бюджету</t>
  </si>
  <si>
    <t>5.1.1</t>
  </si>
  <si>
    <t>6.1.1</t>
  </si>
  <si>
    <t>7.1</t>
  </si>
  <si>
    <t>7.1.1</t>
  </si>
  <si>
    <t>8.1</t>
  </si>
  <si>
    <t>8.1.1</t>
  </si>
  <si>
    <t>предмети, матеріали, обладнання та інвентар</t>
  </si>
  <si>
    <t>відхилення, (+/-)</t>
  </si>
  <si>
    <t>відхилення, 
(%)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</si>
  <si>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</si>
  <si>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</si>
  <si>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</si>
  <si>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</si>
  <si>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</si>
  <si>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метрологічна повірка медичного обладнання, повірка лічильників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</si>
  <si>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</si>
  <si>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9.1.1</t>
  </si>
  <si>
    <t>бланки</t>
  </si>
  <si>
    <t>канцтовари</t>
  </si>
  <si>
    <t>Інші адміністративні витрати,усього, в т.ч.:</t>
  </si>
  <si>
    <t>Інші операційні витрати, усього, в т.ч.:</t>
  </si>
  <si>
    <t>Інші витрати, усього, в т.ч.: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</si>
  <si>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</si>
  <si>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>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</si>
  <si>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t>1.3.2</t>
  </si>
  <si>
    <t>1.3.3</t>
  </si>
  <si>
    <t xml:space="preserve">Відрахування на соціальні заходи </t>
  </si>
  <si>
    <t>Матеріальні витрати, усього, в т.ч.:</t>
  </si>
  <si>
    <t>Нарахування амортизації на безоплатно отримані активи</t>
  </si>
  <si>
    <t>інші податки, збори та платежі (профспілкові внески)</t>
  </si>
  <si>
    <t>2.1.1</t>
  </si>
  <si>
    <t>Бюджетне фінансування (кошти ВМТГ)</t>
  </si>
  <si>
    <t>Інші джерела (кошти НСЗУ)</t>
  </si>
  <si>
    <t xml:space="preserve">Нараховані до сплати податки та збори до Державного бюджету України (податкові платежі) </t>
  </si>
  <si>
    <t>витрати на відрядження (проїзний - поповнення безконтактної неперсоніфікованої смарт - карти на проїзд)</t>
  </si>
  <si>
    <t>утилізація ламп, мед.відходів</t>
  </si>
  <si>
    <t>господарські товари, запчастини</t>
  </si>
  <si>
    <t>Амортизація основних засобів</t>
  </si>
  <si>
    <t>Капітальні інвестиції, усього, у тому числі:</t>
  </si>
  <si>
    <t>Директор КНП "ВМКЛШМД"</t>
  </si>
  <si>
    <t xml:space="preserve">Амортизація </t>
  </si>
  <si>
    <t>атестація робочих місць</t>
  </si>
  <si>
    <t>1.1.4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</si>
  <si>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</si>
  <si>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</si>
  <si>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</si>
  <si>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</si>
  <si>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</si>
  <si>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</si>
  <si>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</si>
  <si>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</si>
  <si>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паливно-мастильні матеріали</t>
  </si>
  <si>
    <t>3.</t>
  </si>
  <si>
    <t>3.1</t>
  </si>
  <si>
    <t>3.1.1</t>
  </si>
  <si>
    <t>11.</t>
  </si>
  <si>
    <t>11.1</t>
  </si>
  <si>
    <t>предмети, матеріали, обладнання, інвентар (носилки, кліщі)</t>
  </si>
  <si>
    <t>1.2.4</t>
  </si>
  <si>
    <t>1.3.1</t>
  </si>
  <si>
    <t>10.1</t>
  </si>
  <si>
    <t>10.1.1</t>
  </si>
  <si>
    <t>оплата за отримання ліцензії, держ.реєстрація статуту</t>
  </si>
  <si>
    <t>предмети, матеріали, обладнання, інвентар (принтери, меблі, сервер, акумул.батарея, картриджі, носилки, кліщі)</t>
  </si>
  <si>
    <t>господарські товари, енергозберігаючі лампочки, картриджі, запчастини</t>
  </si>
  <si>
    <t>-</t>
  </si>
  <si>
    <t>за повідомлення про погодж.тарифу на проходження стажування лік.-інтернів ("Вінницька газета")</t>
  </si>
  <si>
    <t>Олександр ФОМІН</t>
  </si>
  <si>
    <t>Благодійні внески (натура)</t>
  </si>
  <si>
    <t>Благодійні внески (натура)(залишки минулих періодів)</t>
  </si>
  <si>
    <t xml:space="preserve">            (підпис)</t>
  </si>
  <si>
    <t>ремонт медичного та іншого обладнання</t>
  </si>
  <si>
    <t>інформ.-консультативні послуги; навчання</t>
  </si>
  <si>
    <t>господарські товари, енергозберігаючі лампочки, миючі засоби</t>
  </si>
  <si>
    <t>Благодійні внески (кошти)</t>
  </si>
  <si>
    <t>Централізоване постачання</t>
  </si>
  <si>
    <t>адвокадські послуги, що стосуються статутної діяльності</t>
  </si>
  <si>
    <t>Відшкодування в бюджет (за скоєння злочину)</t>
  </si>
  <si>
    <t>Інші операційні витрати, усього, у т.ч.:</t>
  </si>
  <si>
    <t>монітор мед.рідкокристалічний MDNC-2123</t>
  </si>
  <si>
    <t>система холтерівського моніторування ЕКГ "ECGpro Holter", комплект у складі 4 одиниць</t>
  </si>
  <si>
    <t>серевер ARTLINE для обслуговування МІС "Д-р Елекс"</t>
  </si>
  <si>
    <t>мережеве сховище інформації SYNOLOGY NASDS220+</t>
  </si>
  <si>
    <t>капітальний ремонт</t>
  </si>
  <si>
    <t>капітальний ремонт частини приміщень в рамках проекту EMERGENCY-2020 (під ангіограф), технічний нагляд за об'єктом</t>
  </si>
  <si>
    <t>Придбання (виготовлення) основних засобів, усього, у т.ч.:</t>
  </si>
  <si>
    <t>Капітальний ремонт, усього, у т.ч.:</t>
  </si>
  <si>
    <t>оплата послуг (крім комунальних): ремонт обладнання, поточні рем.та ін.</t>
  </si>
  <si>
    <t>(    )</t>
  </si>
  <si>
    <t>Кошти  бюджету Вінницької міської територіальної громади (ВМТГ) (залишки минулих періодів)</t>
  </si>
  <si>
    <t>Кошти бюджету Вінницької міської територіальної громади (ВМТГ)</t>
  </si>
  <si>
    <t>8.</t>
  </si>
  <si>
    <t>3.1.2</t>
  </si>
  <si>
    <t>3.1.3</t>
  </si>
  <si>
    <t>11.1.1</t>
  </si>
  <si>
    <t>12.</t>
  </si>
  <si>
    <t>12.1</t>
  </si>
  <si>
    <t>12.1.1</t>
  </si>
  <si>
    <t>13.</t>
  </si>
  <si>
    <t>13.1</t>
  </si>
  <si>
    <t>13.1.1</t>
  </si>
  <si>
    <t>14.</t>
  </si>
  <si>
    <t>14.1</t>
  </si>
  <si>
    <t>14.1.1</t>
  </si>
  <si>
    <t>благодійні внески (кошти)</t>
  </si>
  <si>
    <t>централізоване постачання</t>
  </si>
  <si>
    <t xml:space="preserve">кошти бюджету Вінницької міської територіальної громади </t>
  </si>
  <si>
    <t>кошти бюджету Вінницької міської територіальної громади (залишки минулих періодів)</t>
  </si>
  <si>
    <t>кошти з відшкодування по нещасним випадкам на виробництві і за скоєння злочину</t>
  </si>
  <si>
    <t>15.</t>
  </si>
  <si>
    <t>15.1</t>
  </si>
  <si>
    <t>4</t>
  </si>
  <si>
    <t>2</t>
  </si>
  <si>
    <t>оприбуткування активів від ліквідації</t>
  </si>
  <si>
    <t>лабораторні дослідження</t>
  </si>
  <si>
    <t>оцінка енергоефективності будівель, ТО системи киснезабезпечення, проект біологічного захисту операційної, розробка конструкцій для портативних аспіраторів, експертиза проект.-кошторис.докум.по об'єкту "кап.рем.мереж водопостачання"</t>
  </si>
  <si>
    <t>медінфсист. "Д-р Елекс", надання доступу до мережі інтернет, послуги провайдерів</t>
  </si>
  <si>
    <t>господарські товари, енергозберігаючі лампочки, картриджі, миючі засоби</t>
  </si>
  <si>
    <r>
      <t xml:space="preserve">паливно-мастильні матеріали  </t>
    </r>
    <r>
      <rPr>
        <sz val="14"/>
        <color rgb="FFFF0000"/>
        <rFont val="Times New Roman"/>
        <family val="1"/>
        <charset val="204"/>
      </rPr>
      <t xml:space="preserve"> </t>
    </r>
  </si>
  <si>
    <t>Надходження від відсотків за залишками коштів на рахунках</t>
  </si>
  <si>
    <t>5</t>
  </si>
  <si>
    <t>надходження від відсотків за залишками коштів на  рахунках</t>
  </si>
  <si>
    <t>оплата послуг (крім комунальних): цілодобове пожежне спостереження, обслуговув.системи протипож.захисту, енергомоніторинг, наглядов.аудит за сист.упр.якістю</t>
  </si>
  <si>
    <t>1.1.5</t>
  </si>
  <si>
    <t>розробка сист.менеджменту в лабораторії та підготовка лабораторії до акредитації за вимогами стандарту ISO 15189:2022</t>
  </si>
  <si>
    <t>виготовл.і встановлення металопластиков.конструкцій, жалюзі</t>
  </si>
  <si>
    <t>предмети, матеріали, обладнання та інвентар, господарські товари, комп'ютерне обладнання</t>
  </si>
  <si>
    <t xml:space="preserve">предмети, матеріали, обладнання та інвентар, в т.ч.:принтери, меблі, картриджи </t>
  </si>
  <si>
    <t>ремонт обладнання, поточні ремонти та ін.послуги</t>
  </si>
  <si>
    <t>1.1.6</t>
  </si>
  <si>
    <t>Лікарняні листи перші 5 днів</t>
  </si>
  <si>
    <t>електрокоагулятор високочастотний зварювальний ЕК 300М</t>
  </si>
  <si>
    <t>радіочастотна плазмова хірург.сист. Генератор Eblator ARS600</t>
  </si>
  <si>
    <t>апарат ШВЛ Hamilton</t>
  </si>
  <si>
    <t xml:space="preserve">а/м Volkswagen </t>
  </si>
  <si>
    <t>холодильник BEKO, морозильна камера</t>
  </si>
  <si>
    <t>термостат сухоповітряний</t>
  </si>
  <si>
    <t>ламінована шафа біологічної безпеки HR 30 - II A2</t>
  </si>
  <si>
    <t>комп'ютерний комплекс</t>
  </si>
  <si>
    <t>капітальний ремонт частини приміщень в рамках проекту КДЛ (бактеріологія), ПКД</t>
  </si>
  <si>
    <t>Власні кошти (благодійна допомога, залишки коштів на рахунках)</t>
  </si>
  <si>
    <t>відшкодування орендарями земельного податку</t>
  </si>
  <si>
    <t>благодійні внески (натуральні показники)</t>
  </si>
  <si>
    <t>обрізка дерев</t>
  </si>
  <si>
    <t>виготовлення і встановлення металопластикових конструкцій, жалюзі</t>
  </si>
  <si>
    <t>обслуговування системи очищення води</t>
  </si>
  <si>
    <t>доплата митних платежів</t>
  </si>
  <si>
    <t>навчання</t>
  </si>
  <si>
    <t>запасні частини для автомобіля</t>
  </si>
  <si>
    <t>відшкодування в бюджет (за скоєння злочину)</t>
  </si>
  <si>
    <t>інформаційно-консультативні послуги, навчання</t>
  </si>
  <si>
    <t>медогляд, досл.ІФА</t>
  </si>
  <si>
    <t>збір та утилізація мед.відходів</t>
  </si>
  <si>
    <t>Інші адміністративні витрати, усього, в т.ч.:</t>
  </si>
  <si>
    <t>14.1.2</t>
  </si>
  <si>
    <t>14.2</t>
  </si>
  <si>
    <t>14.2.1</t>
  </si>
  <si>
    <t>15.1.1</t>
  </si>
  <si>
    <t>16.</t>
  </si>
  <si>
    <t>16.1</t>
  </si>
  <si>
    <t>16.2</t>
  </si>
  <si>
    <t>14.3</t>
  </si>
  <si>
    <t>14.3.1</t>
  </si>
  <si>
    <t>16.1.1</t>
  </si>
  <si>
    <t>16.2.1</t>
  </si>
  <si>
    <t>комплект обладнання для артроскопічних операцій</t>
  </si>
  <si>
    <t>апарат високочастотний електрохірургічний</t>
  </si>
  <si>
    <t>дозиметр клінічний</t>
  </si>
  <si>
    <t>багаторазовий набір для проведення хірургічної артроскопії</t>
  </si>
  <si>
    <t>біполярні коагуляційні щіпці</t>
  </si>
  <si>
    <t>виготовлення та експертиза ПКД на реконструкцію електропостачання під дизельн.генератор</t>
  </si>
  <si>
    <t>виготовлення ПКД по кап.ремонту водопостачання</t>
  </si>
  <si>
    <t>вилучення дорогоцінних металів</t>
  </si>
  <si>
    <t>акредитація бактеріологічного відділу КДЛ на відповідність ДСТУ 15189:2022</t>
  </si>
  <si>
    <t>ТО диз.генератора, газового обладн., аварійного ел.живлення, перев.і випробування пожеж.гідрантів, ел.вимірювання, тех.нагляд за об'єктами, промивка та випробув. сист.опалення, перев.дозоформ. параметри, ТО вогнегасників, встановлення камери відеоспостереження, сервісне обсл.систем очищення води, сист.рентген.радіограф.7200А</t>
  </si>
  <si>
    <t>лабораторні меблі та столи</t>
  </si>
  <si>
    <t>капітальний ремонт частини приміщень в рамках проекту КДЛ (бактеріологія), технічний нагляд за об'єктом</t>
  </si>
  <si>
    <t>Модернізація, модифікація (добудова, дообладнання, реконструкція) основних засобів (розшифрувати)</t>
  </si>
  <si>
    <t xml:space="preserve">ЗВІТ
 про виконання показників фінансового плану Комунального некомерційного підприємства                             "Вінницька міська клінічна лікарня швидкої медичної допомоги"
за 9 місяців 2024 року   </t>
  </si>
  <si>
    <t>Звітний період 9 місяців 2024 року</t>
  </si>
  <si>
    <t>9 місяців 2023 року</t>
  </si>
  <si>
    <t>9 місяців 2024 року</t>
  </si>
  <si>
    <t>План                      9 місяців 2024 року</t>
  </si>
  <si>
    <t>Факт                             9 місяців 2024 року</t>
  </si>
  <si>
    <t>Факт 9 місяців 2023 року</t>
  </si>
  <si>
    <t>План 9 місяців 2024 року</t>
  </si>
  <si>
    <t>Факт 9 місяців 2024 року</t>
  </si>
  <si>
    <t>виготовл.і встановл захисної перегородки (КТ)</t>
  </si>
  <si>
    <t>коригув.та експертиза проектно-коштор.док. кап. ремонт мереж водопостач.; КП "Вінн.БТІ" поточні зміни на нежитл.будинки; сан.-гіг.дослідж.для атестації роб.місць</t>
  </si>
  <si>
    <t>Залишок коштів від власних надходжень (стажування лікарів-інтернів та медичне обслуговування іноземних громадян)</t>
  </si>
  <si>
    <t>4.1.2</t>
  </si>
  <si>
    <t>6.2</t>
  </si>
  <si>
    <t>6.2.1</t>
  </si>
  <si>
    <t>8.2</t>
  </si>
  <si>
    <t>8.2.1</t>
  </si>
  <si>
    <t>запчастини</t>
  </si>
  <si>
    <r>
      <t xml:space="preserve">витрати, пов'язані з використанням автомобілів </t>
    </r>
    <r>
      <rPr>
        <i/>
        <sz val="14"/>
        <color theme="1"/>
        <rFont val="Times New Roman"/>
        <family val="1"/>
        <charset val="204"/>
      </rPr>
      <t>(бензин, дизельне паливо)</t>
    </r>
  </si>
  <si>
    <t>10.1.2</t>
  </si>
  <si>
    <t>10.2</t>
  </si>
  <si>
    <t>10.2.1</t>
  </si>
  <si>
    <t>концентратор</t>
  </si>
  <si>
    <t>шприцевий насос</t>
  </si>
  <si>
    <t>східці для вправ, клітка для підв.терапії, катал.насос.ноші, отоларингол., апарат вакуумної терапії, холод.шафа</t>
  </si>
  <si>
    <t>дизельгенератор, електроген.установка</t>
  </si>
  <si>
    <t>монітор пацієнта</t>
  </si>
  <si>
    <t>апарат штучної вентиляції легень</t>
  </si>
  <si>
    <t>автомобіль</t>
  </si>
  <si>
    <t>офт.отоскоп з насадкою</t>
  </si>
  <si>
    <t>відсмоктувач хірург. електричний, модуль автоклав паровий, кисневий концентратор, стимулятор перефиричного нерва, морозильна камера, набір для відкритого перелому нижньої кінцівки</t>
  </si>
  <si>
    <t>модернізація ПК (3шт.)</t>
  </si>
  <si>
    <t>реконструкція мережі електропостачання</t>
  </si>
  <si>
    <t>технічний нагляд за об'єктом (реконструкція мережі електропостачання)</t>
  </si>
  <si>
    <t>коригування ПКД по кап.ремонту під ангіограф</t>
  </si>
  <si>
    <t>ремонт та технічне обслуговування апаратів ШВЛ</t>
  </si>
  <si>
    <t>оплата послуг (крім комунальних): цілодобове пожежне спостереження, обслуговув.системи протипож.захисту, енергомоніторинг, наглядов.аудит за сист.упр.якістю, розпломб.вузла обліку тепл.енергії, облашт.гідроізоляції, пот.ремонт трубч.колодязя, техн.обстеж.даху</t>
  </si>
  <si>
    <t xml:space="preserve">оплата послуг (крім комунальних): ремонт обладнання, поточні рем.та ін.; послуги банку, інформаційні послуги, проведення експертного дослідження </t>
  </si>
  <si>
    <t>виготовлення ПКД по кап.ремонту покрівлі гаража</t>
  </si>
  <si>
    <t>% банку</t>
  </si>
  <si>
    <t>капітальний ремонт покрівлі гаража</t>
  </si>
  <si>
    <t>компресор повітряний медичний PN-3000</t>
  </si>
  <si>
    <t>напівавтоматичний біохімічний аналізатор BSA 3000</t>
  </si>
  <si>
    <t>автоматичний гематологічний аналізатор XN-L XN- 330</t>
  </si>
  <si>
    <t>меблі</t>
  </si>
  <si>
    <t>мережеве сховище інформації SYNOLOGY 4BAY DS923+</t>
  </si>
  <si>
    <t>НСЗУ</t>
  </si>
  <si>
    <t>%</t>
  </si>
  <si>
    <t>гематологічний аналізатор Hematology ana lazer H360</t>
  </si>
  <si>
    <t>автомобіль Mersedes Benz Sprinter (2012)</t>
  </si>
  <si>
    <t>монітор пацієнта Vista 120S</t>
  </si>
  <si>
    <t>кондиціонер Olmo OSH-18FRH3</t>
  </si>
  <si>
    <t>наркозно-дихальна станція Atlan A 300</t>
  </si>
  <si>
    <t>64,2 благод</t>
  </si>
  <si>
    <t>кошти від Національної служби здоров'я України</t>
  </si>
  <si>
    <r>
      <t>кошти від Національної служби здоров'я України (</t>
    </r>
    <r>
      <rPr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</t>
    </r>
    <r>
      <rPr>
        <sz val="14"/>
        <rFont val="Times New Roman"/>
        <family val="1"/>
        <charset val="204"/>
      </rPr>
      <t>)</t>
    </r>
  </si>
  <si>
    <t>Кошти від Національної служби здоров'я України</t>
  </si>
  <si>
    <r>
      <t>Кошти від Національної служби здоров'я України (</t>
    </r>
    <r>
      <rPr>
        <b/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</si>
</sst>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\ _г_р_н_._-;\-* #,##0.00\ _г_р_н_._-;_-* &quot;-&quot;??\ _г_р_н_._-;_-@_-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#,##0.000"/>
    <numFmt numFmtId="182" formatCode="_(* #,##0.0_);_(* \(#,##0.0\);_(* &quot;-&quot;??_);_(@_)"/>
    <numFmt numFmtId="183" formatCode="_-* #,##0.0\ _₴_-;\-* #,##0.0\ _₴_-;_-* &quot;-&quot;?\ _₴_-;_-@_-"/>
    <numFmt numFmtId="184" formatCode="_-* #,##0.00000\ _₴_-;\-* #,##0.00000\ _₴_-;_-* &quot;-&quot;?????\ _₴_-;_-@_-"/>
  </numFmts>
  <fonts count="10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ECE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6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2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3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7" fontId="59" fillId="22" borderId="12" applyFill="0" applyBorder="0">
      <alignment horizontal="center" vertical="center" wrapText="1"/>
      <protection locked="0"/>
    </xf>
    <xf numFmtId="172" fontId="60" fillId="0" borderId="0">
      <alignment wrapText="1"/>
    </xf>
    <xf numFmtId="172" fontId="27" fillId="0" borderId="0">
      <alignment wrapText="1"/>
    </xf>
    <xf numFmtId="0" fontId="2" fillId="0" borderId="0"/>
  </cellStyleXfs>
  <cellXfs count="388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left" vertical="center"/>
    </xf>
    <xf numFmtId="0" fontId="62" fillId="0" borderId="0" xfId="0" applyFont="1" applyFill="1" applyAlignment="1"/>
    <xf numFmtId="0" fontId="71" fillId="0" borderId="3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wrapText="1"/>
    </xf>
    <xf numFmtId="179" fontId="71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179" fontId="72" fillId="0" borderId="3" xfId="0" applyNumberFormat="1" applyFont="1" applyFill="1" applyBorder="1" applyAlignment="1">
      <alignment horizontal="right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179" fontId="71" fillId="0" borderId="3" xfId="0" applyNumberFormat="1" applyFont="1" applyFill="1" applyBorder="1" applyAlignment="1">
      <alignment horizontal="right"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0" fontId="71" fillId="0" borderId="3" xfId="0" applyFont="1" applyFill="1" applyBorder="1" applyAlignment="1">
      <alignment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0" borderId="15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 wrapText="1"/>
    </xf>
    <xf numFmtId="179" fontId="64" fillId="0" borderId="3" xfId="0" applyNumberFormat="1" applyFont="1" applyFill="1" applyBorder="1" applyAlignment="1">
      <alignment horizontal="center" vertical="center"/>
    </xf>
    <xf numFmtId="179" fontId="62" fillId="0" borderId="0" xfId="0" applyNumberFormat="1" applyFont="1" applyFill="1" applyBorder="1" applyAlignment="1">
      <alignment vertical="center"/>
    </xf>
    <xf numFmtId="180" fontId="62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vertical="center"/>
    </xf>
    <xf numFmtId="0" fontId="83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179" fontId="83" fillId="0" borderId="3" xfId="0" applyNumberFormat="1" applyFont="1" applyFill="1" applyBorder="1" applyAlignment="1">
      <alignment vertical="center"/>
    </xf>
    <xf numFmtId="179" fontId="69" fillId="0" borderId="3" xfId="0" applyNumberFormat="1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vertical="center"/>
    </xf>
    <xf numFmtId="0" fontId="69" fillId="0" borderId="0" xfId="0" applyFont="1" applyFill="1" applyAlignment="1"/>
    <xf numFmtId="0" fontId="69" fillId="0" borderId="0" xfId="0" applyFont="1" applyFill="1" applyBorder="1" applyAlignment="1">
      <alignment vertical="center" wrapText="1" shrinkToFit="1"/>
    </xf>
    <xf numFmtId="0" fontId="85" fillId="0" borderId="0" xfId="0" applyFont="1" applyFill="1" applyAlignment="1">
      <alignment vertical="center"/>
    </xf>
    <xf numFmtId="179" fontId="70" fillId="0" borderId="3" xfId="0" applyNumberFormat="1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vertical="center" wrapText="1"/>
    </xf>
    <xf numFmtId="179" fontId="63" fillId="0" borderId="3" xfId="0" applyNumberFormat="1" applyFont="1" applyFill="1" applyBorder="1" applyAlignment="1">
      <alignment vertical="center" wrapText="1"/>
    </xf>
    <xf numFmtId="0" fontId="86" fillId="0" borderId="0" xfId="0" applyFont="1" applyFill="1" applyBorder="1" applyAlignment="1">
      <alignment horizontal="center"/>
    </xf>
    <xf numFmtId="0" fontId="87" fillId="0" borderId="0" xfId="0" applyFont="1" applyFill="1" applyBorder="1" applyAlignment="1">
      <alignment horizontal="center" vertical="center"/>
    </xf>
    <xf numFmtId="0" fontId="87" fillId="0" borderId="0" xfId="0" applyFont="1" applyFill="1" applyBorder="1" applyAlignment="1">
      <alignment vertical="center"/>
    </xf>
    <xf numFmtId="170" fontId="87" fillId="0" borderId="0" xfId="0" applyNumberFormat="1" applyFont="1" applyFill="1" applyBorder="1" applyAlignment="1">
      <alignment vertical="center"/>
    </xf>
    <xf numFmtId="183" fontId="62" fillId="0" borderId="0" xfId="0" applyNumberFormat="1" applyFont="1" applyFill="1" applyBorder="1" applyAlignment="1">
      <alignment vertical="center"/>
    </xf>
    <xf numFmtId="0" fontId="69" fillId="0" borderId="13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83" fillId="0" borderId="3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0" fontId="76" fillId="0" borderId="0" xfId="0" applyFont="1" applyFill="1" applyAlignment="1">
      <alignment horizontal="left" vertical="center"/>
    </xf>
    <xf numFmtId="0" fontId="90" fillId="0" borderId="0" xfId="0" applyFont="1" applyFill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 shrinkToFit="1"/>
    </xf>
    <xf numFmtId="0" fontId="70" fillId="0" borderId="3" xfId="182" applyFont="1" applyFill="1" applyBorder="1" applyAlignment="1">
      <alignment vertical="center" wrapText="1"/>
      <protection locked="0"/>
    </xf>
    <xf numFmtId="0" fontId="70" fillId="0" borderId="3" xfId="0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0" fontId="72" fillId="0" borderId="3" xfId="182" applyFont="1" applyFill="1" applyBorder="1" applyAlignment="1">
      <alignment vertical="center" wrapText="1"/>
      <protection locked="0"/>
    </xf>
    <xf numFmtId="179" fontId="70" fillId="0" borderId="3" xfId="0" applyNumberFormat="1" applyFont="1" applyFill="1" applyBorder="1" applyAlignment="1">
      <alignment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72" fillId="0" borderId="3" xfId="245" applyFont="1" applyFill="1" applyBorder="1" applyAlignment="1">
      <alignment horizontal="left" vertical="center" wrapText="1"/>
    </xf>
    <xf numFmtId="0" fontId="70" fillId="0" borderId="3" xfId="0" applyFont="1" applyFill="1" applyBorder="1" applyAlignment="1" applyProtection="1">
      <alignment horizontal="left" vertical="center" wrapText="1"/>
      <protection locked="0"/>
    </xf>
    <xf numFmtId="49" fontId="70" fillId="0" borderId="3" xfId="0" applyNumberFormat="1" applyFont="1" applyFill="1" applyBorder="1" applyAlignment="1">
      <alignment horizontal="center" vertical="center"/>
    </xf>
    <xf numFmtId="178" fontId="70" fillId="0" borderId="3" xfId="0" applyNumberFormat="1" applyFont="1" applyFill="1" applyBorder="1" applyAlignment="1">
      <alignment horizontal="center" vertical="center" wrapText="1"/>
    </xf>
    <xf numFmtId="0" fontId="92" fillId="0" borderId="0" xfId="0" applyFont="1" applyFill="1" applyBorder="1" applyAlignment="1">
      <alignment horizontal="center" wrapText="1"/>
    </xf>
    <xf numFmtId="0" fontId="72" fillId="0" borderId="0" xfId="0" quotePrefix="1" applyFont="1" applyFill="1" applyBorder="1" applyAlignment="1">
      <alignment horizontal="center" vertical="center"/>
    </xf>
    <xf numFmtId="171" fontId="91" fillId="0" borderId="0" xfId="0" applyNumberFormat="1" applyFont="1" applyFill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2" fillId="0" borderId="0" xfId="0" applyFont="1" applyFill="1" applyAlignment="1">
      <alignment horizontal="left" vertical="center"/>
    </xf>
    <xf numFmtId="179" fontId="81" fillId="0" borderId="0" xfId="0" applyNumberFormat="1" applyFont="1" applyFill="1" applyBorder="1" applyAlignment="1">
      <alignment horizontal="right" vertical="center" wrapText="1"/>
    </xf>
    <xf numFmtId="179" fontId="93" fillId="0" borderId="3" xfId="0" applyNumberFormat="1" applyFont="1" applyFill="1" applyBorder="1" applyAlignment="1">
      <alignment horizontal="center" vertical="center" wrapText="1"/>
    </xf>
    <xf numFmtId="179" fontId="94" fillId="0" borderId="3" xfId="0" applyNumberFormat="1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/>
    </xf>
    <xf numFmtId="179" fontId="98" fillId="0" borderId="3" xfId="0" applyNumberFormat="1" applyFont="1" applyFill="1" applyBorder="1" applyAlignment="1">
      <alignment horizontal="center" vertical="center"/>
    </xf>
    <xf numFmtId="179" fontId="99" fillId="0" borderId="3" xfId="0" applyNumberFormat="1" applyFont="1" applyFill="1" applyBorder="1" applyAlignment="1">
      <alignment vertical="center"/>
    </xf>
    <xf numFmtId="0" fontId="84" fillId="0" borderId="0" xfId="0" applyFont="1" applyFill="1" applyBorder="1" applyAlignment="1"/>
    <xf numFmtId="49" fontId="73" fillId="0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1" fontId="71" fillId="0" borderId="0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64" fillId="0" borderId="3" xfId="0" applyFont="1" applyFill="1" applyBorder="1" applyAlignment="1">
      <alignment horizontal="center" vertical="center" wrapText="1" shrinkToFit="1"/>
    </xf>
    <xf numFmtId="0" fontId="69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vertical="center" wrapText="1"/>
    </xf>
    <xf numFmtId="1" fontId="73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vertical="center"/>
    </xf>
    <xf numFmtId="183" fontId="73" fillId="0" borderId="0" xfId="0" applyNumberFormat="1" applyFont="1" applyFill="1" applyBorder="1" applyAlignment="1">
      <alignment vertical="center"/>
    </xf>
    <xf numFmtId="179" fontId="73" fillId="0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right" vertical="center" wrapText="1"/>
    </xf>
    <xf numFmtId="49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horizontal="right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49" fontId="81" fillId="0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 wrapText="1"/>
    </xf>
    <xf numFmtId="1" fontId="73" fillId="0" borderId="0" xfId="0" applyNumberFormat="1" applyFont="1" applyFill="1" applyBorder="1" applyAlignment="1">
      <alignment horizontal="right" vertical="center"/>
    </xf>
    <xf numFmtId="179" fontId="71" fillId="0" borderId="0" xfId="0" applyNumberFormat="1" applyFont="1" applyFill="1" applyBorder="1" applyAlignment="1">
      <alignment vertical="center"/>
    </xf>
    <xf numFmtId="171" fontId="73" fillId="0" borderId="0" xfId="0" applyNumberFormat="1" applyFont="1" applyFill="1" applyBorder="1" applyAlignment="1">
      <alignment vertical="center"/>
    </xf>
    <xf numFmtId="179" fontId="81" fillId="0" borderId="3" xfId="0" applyNumberFormat="1" applyFont="1" applyFill="1" applyBorder="1" applyAlignment="1">
      <alignment horizontal="right" vertical="center" wrapText="1"/>
    </xf>
    <xf numFmtId="183" fontId="71" fillId="0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center" vertical="center" wrapText="1"/>
    </xf>
    <xf numFmtId="179" fontId="81" fillId="0" borderId="3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Border="1" applyAlignment="1">
      <alignment vertical="center"/>
    </xf>
    <xf numFmtId="0" fontId="71" fillId="0" borderId="0" xfId="0" applyNumberFormat="1" applyFont="1" applyFill="1" applyBorder="1" applyAlignment="1">
      <alignment vertical="center"/>
    </xf>
    <xf numFmtId="0" fontId="71" fillId="0" borderId="3" xfId="353" applyFont="1" applyFill="1" applyBorder="1" applyAlignment="1">
      <alignment horizontal="left" vertical="center" wrapText="1"/>
    </xf>
    <xf numFmtId="181" fontId="71" fillId="0" borderId="3" xfId="353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vertical="center" wrapText="1"/>
    </xf>
    <xf numFmtId="0" fontId="81" fillId="0" borderId="3" xfId="0" applyFont="1" applyFill="1" applyBorder="1" applyAlignment="1">
      <alignment vertical="center" wrapText="1"/>
    </xf>
    <xf numFmtId="0" fontId="78" fillId="0" borderId="3" xfId="182" applyFont="1" applyFill="1" applyBorder="1" applyAlignment="1">
      <alignment vertical="center" wrapText="1"/>
      <protection locked="0"/>
    </xf>
    <xf numFmtId="0" fontId="81" fillId="0" borderId="17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vertical="center" wrapText="1"/>
    </xf>
    <xf numFmtId="179" fontId="81" fillId="0" borderId="3" xfId="0" applyNumberFormat="1" applyFont="1" applyFill="1" applyBorder="1" applyAlignment="1">
      <alignment vertical="center" wrapText="1"/>
    </xf>
    <xf numFmtId="0" fontId="81" fillId="0" borderId="16" xfId="0" applyFont="1" applyFill="1" applyBorder="1" applyAlignment="1">
      <alignment horizontal="left" vertical="center" wrapText="1"/>
    </xf>
    <xf numFmtId="179" fontId="81" fillId="0" borderId="15" xfId="0" applyNumberFormat="1" applyFont="1" applyFill="1" applyBorder="1" applyAlignment="1">
      <alignment horizontal="right" vertical="center" wrapText="1"/>
    </xf>
    <xf numFmtId="0" fontId="64" fillId="0" borderId="3" xfId="0" applyFont="1" applyFill="1" applyBorder="1" applyAlignment="1">
      <alignment horizontal="left" vertical="center" wrapText="1"/>
    </xf>
    <xf numFmtId="1" fontId="81" fillId="0" borderId="0" xfId="0" applyNumberFormat="1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left" vertical="center" wrapText="1"/>
    </xf>
    <xf numFmtId="171" fontId="71" fillId="0" borderId="0" xfId="0" applyNumberFormat="1" applyFont="1" applyFill="1" applyBorder="1" applyAlignment="1">
      <alignment horizontal="center" vertical="center"/>
    </xf>
    <xf numFmtId="49" fontId="64" fillId="0" borderId="3" xfId="0" applyNumberFormat="1" applyFont="1" applyFill="1" applyBorder="1" applyAlignment="1">
      <alignment horizontal="center" vertical="center" wrapText="1"/>
    </xf>
    <xf numFmtId="49" fontId="80" fillId="0" borderId="3" xfId="0" applyNumberFormat="1" applyFont="1" applyFill="1" applyBorder="1" applyAlignment="1">
      <alignment horizontal="center" vertical="center" wrapText="1"/>
    </xf>
    <xf numFmtId="171" fontId="78" fillId="0" borderId="3" xfId="0" applyNumberFormat="1" applyFont="1" applyFill="1" applyBorder="1" applyAlignment="1">
      <alignment horizontal="right" vertical="center" wrapText="1"/>
    </xf>
    <xf numFmtId="49" fontId="101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179" fontId="102" fillId="0" borderId="3" xfId="0" applyNumberFormat="1" applyFont="1" applyFill="1" applyBorder="1" applyAlignment="1">
      <alignment horizontal="center" vertical="center" wrapText="1"/>
    </xf>
    <xf numFmtId="179" fontId="101" fillId="0" borderId="3" xfId="0" applyNumberFormat="1" applyFont="1" applyFill="1" applyBorder="1" applyAlignment="1">
      <alignment horizontal="center" vertical="center" wrapText="1"/>
    </xf>
    <xf numFmtId="179" fontId="96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left" vertical="top" wrapText="1"/>
    </xf>
    <xf numFmtId="170" fontId="71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 wrapText="1"/>
    </xf>
    <xf numFmtId="179" fontId="85" fillId="0" borderId="3" xfId="0" applyNumberFormat="1" applyFont="1" applyFill="1" applyBorder="1" applyAlignment="1">
      <alignment horizontal="left" vertical="center" wrapText="1"/>
    </xf>
    <xf numFmtId="179" fontId="63" fillId="0" borderId="3" xfId="0" applyNumberFormat="1" applyFont="1" applyFill="1" applyBorder="1" applyAlignment="1">
      <alignment vertical="center"/>
    </xf>
    <xf numFmtId="179" fontId="80" fillId="0" borderId="3" xfId="0" applyNumberFormat="1" applyFont="1" applyFill="1" applyBorder="1" applyAlignment="1">
      <alignment vertical="center"/>
    </xf>
    <xf numFmtId="179" fontId="80" fillId="0" borderId="3" xfId="0" applyNumberFormat="1" applyFont="1" applyFill="1" applyBorder="1" applyAlignment="1">
      <alignment horizontal="center" vertical="center"/>
    </xf>
    <xf numFmtId="0" fontId="78" fillId="0" borderId="3" xfId="0" quotePrefix="1" applyFont="1" applyFill="1" applyBorder="1" applyAlignment="1">
      <alignment horizontal="center" vertical="center"/>
    </xf>
    <xf numFmtId="179" fontId="102" fillId="0" borderId="3" xfId="0" applyNumberFormat="1" applyFont="1" applyFill="1" applyBorder="1" applyAlignment="1">
      <alignment horizontal="center" vertical="center"/>
    </xf>
    <xf numFmtId="170" fontId="78" fillId="0" borderId="3" xfId="0" applyNumberFormat="1" applyFont="1" applyFill="1" applyBorder="1" applyAlignment="1">
      <alignment vertical="center" wrapText="1"/>
    </xf>
    <xf numFmtId="179" fontId="80" fillId="0" borderId="3" xfId="0" applyNumberFormat="1" applyFont="1" applyFill="1" applyBorder="1" applyAlignment="1">
      <alignment vertical="center" wrapText="1"/>
    </xf>
    <xf numFmtId="0" fontId="73" fillId="0" borderId="3" xfId="0" applyFont="1" applyFill="1" applyBorder="1" applyAlignment="1">
      <alignment vertical="center" wrapText="1"/>
    </xf>
    <xf numFmtId="0" fontId="73" fillId="0" borderId="3" xfId="0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left" vertical="center" wrapText="1"/>
    </xf>
    <xf numFmtId="171" fontId="70" fillId="0" borderId="3" xfId="0" applyNumberFormat="1" applyFont="1" applyFill="1" applyBorder="1" applyAlignment="1">
      <alignment horizontal="right" vertical="center" wrapText="1"/>
    </xf>
    <xf numFmtId="171" fontId="72" fillId="0" borderId="3" xfId="0" applyNumberFormat="1" applyFont="1" applyFill="1" applyBorder="1" applyAlignment="1">
      <alignment horizontal="right" vertical="center" wrapText="1"/>
    </xf>
    <xf numFmtId="171" fontId="71" fillId="0" borderId="3" xfId="0" applyNumberFormat="1" applyFont="1" applyFill="1" applyBorder="1" applyAlignment="1">
      <alignment horizontal="right" vertical="center" wrapText="1"/>
    </xf>
    <xf numFmtId="179" fontId="81" fillId="0" borderId="3" xfId="0" applyNumberFormat="1" applyFont="1" applyFill="1" applyBorder="1" applyAlignment="1">
      <alignment horizontal="right" vertical="center" wrapText="1" shrinkToFit="1"/>
    </xf>
    <xf numFmtId="0" fontId="64" fillId="0" borderId="15" xfId="0" applyFont="1" applyFill="1" applyBorder="1" applyAlignment="1">
      <alignment horizontal="left" vertical="center" wrapText="1"/>
    </xf>
    <xf numFmtId="49" fontId="63" fillId="0" borderId="3" xfId="0" applyNumberFormat="1" applyFont="1" applyFill="1" applyBorder="1" applyAlignment="1">
      <alignment horizontal="center" vertical="center" wrapText="1"/>
    </xf>
    <xf numFmtId="171" fontId="73" fillId="0" borderId="3" xfId="0" applyNumberFormat="1" applyFont="1" applyFill="1" applyBorder="1" applyAlignment="1">
      <alignment horizontal="right" vertical="center" wrapText="1"/>
    </xf>
    <xf numFmtId="171" fontId="73" fillId="0" borderId="3" xfId="0" applyNumberFormat="1" applyFont="1" applyFill="1" applyBorder="1" applyAlignment="1">
      <alignment horizontal="right" vertical="center" wrapText="1" shrinkToFit="1"/>
    </xf>
    <xf numFmtId="171" fontId="72" fillId="0" borderId="0" xfId="0" applyNumberFormat="1" applyFont="1" applyFill="1" applyBorder="1" applyAlignment="1">
      <alignment wrapText="1"/>
    </xf>
    <xf numFmtId="0" fontId="76" fillId="0" borderId="0" xfId="0" applyFont="1" applyFill="1" applyAlignment="1">
      <alignment horizontal="center" vertical="center"/>
    </xf>
    <xf numFmtId="171" fontId="71" fillId="0" borderId="0" xfId="0" applyNumberFormat="1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vertical="center"/>
    </xf>
    <xf numFmtId="0" fontId="71" fillId="0" borderId="3" xfId="0" applyFont="1" applyFill="1" applyBorder="1" applyAlignment="1">
      <alignment horizontal="center" vertical="center"/>
    </xf>
    <xf numFmtId="179" fontId="63" fillId="0" borderId="3" xfId="0" applyNumberFormat="1" applyFont="1" applyFill="1" applyBorder="1" applyAlignment="1">
      <alignment horizontal="center" vertical="center"/>
    </xf>
    <xf numFmtId="182" fontId="71" fillId="0" borderId="3" xfId="0" applyNumberFormat="1" applyFont="1" applyFill="1" applyBorder="1" applyAlignment="1">
      <alignment horizontal="right" vertical="center" wrapText="1"/>
    </xf>
    <xf numFmtId="0" fontId="71" fillId="0" borderId="15" xfId="0" applyFont="1" applyFill="1" applyBorder="1" applyAlignment="1">
      <alignment horizontal="center" vertical="center"/>
    </xf>
    <xf numFmtId="179" fontId="96" fillId="0" borderId="3" xfId="0" applyNumberFormat="1" applyFont="1" applyFill="1" applyBorder="1" applyAlignment="1">
      <alignment horizontal="center" vertical="center"/>
    </xf>
    <xf numFmtId="49" fontId="71" fillId="0" borderId="15" xfId="0" applyNumberFormat="1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vertical="center"/>
    </xf>
    <xf numFmtId="0" fontId="71" fillId="0" borderId="3" xfId="0" applyFont="1" applyFill="1" applyBorder="1" applyAlignment="1">
      <alignment horizontal="right" vertical="center"/>
    </xf>
    <xf numFmtId="0" fontId="73" fillId="0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/>
    </xf>
    <xf numFmtId="0" fontId="82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center"/>
    </xf>
    <xf numFmtId="0" fontId="73" fillId="0" borderId="3" xfId="0" applyFont="1" applyFill="1" applyBorder="1" applyAlignment="1">
      <alignment vertical="center"/>
    </xf>
    <xf numFmtId="0" fontId="71" fillId="0" borderId="18" xfId="0" applyFont="1" applyFill="1" applyBorder="1" applyAlignment="1">
      <alignment horizontal="center"/>
    </xf>
    <xf numFmtId="0" fontId="69" fillId="0" borderId="0" xfId="0" applyFont="1" applyFill="1" applyAlignment="1">
      <alignment vertical="center" wrapText="1" shrinkToFit="1"/>
    </xf>
    <xf numFmtId="0" fontId="81" fillId="0" borderId="3" xfId="182" applyFont="1" applyFill="1" applyBorder="1" applyAlignment="1">
      <alignment vertical="center" wrapText="1"/>
      <protection locked="0"/>
    </xf>
    <xf numFmtId="178" fontId="70" fillId="0" borderId="3" xfId="0" applyNumberFormat="1" applyFont="1" applyFill="1" applyBorder="1" applyAlignment="1">
      <alignment horizontal="right" vertical="center" wrapText="1"/>
    </xf>
    <xf numFmtId="178" fontId="72" fillId="0" borderId="3" xfId="0" applyNumberFormat="1" applyFont="1" applyFill="1" applyBorder="1" applyAlignment="1">
      <alignment horizontal="right" vertical="center" wrapText="1"/>
    </xf>
    <xf numFmtId="184" fontId="71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horizontal="left" vertical="center"/>
    </xf>
    <xf numFmtId="183" fontId="73" fillId="0" borderId="0" xfId="0" applyNumberFormat="1" applyFont="1" applyFill="1" applyBorder="1" applyAlignment="1">
      <alignment horizontal="left" vertical="center"/>
    </xf>
    <xf numFmtId="0" fontId="83" fillId="0" borderId="15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182" fontId="70" fillId="0" borderId="3" xfId="0" applyNumberFormat="1" applyFont="1" applyFill="1" applyBorder="1" applyAlignment="1">
      <alignment horizontal="right" vertical="center" wrapText="1"/>
    </xf>
    <xf numFmtId="3" fontId="70" fillId="0" borderId="3" xfId="0" applyNumberFormat="1" applyFont="1" applyFill="1" applyBorder="1" applyAlignment="1">
      <alignment horizontal="right" vertical="center" wrapText="1"/>
    </xf>
    <xf numFmtId="3" fontId="72" fillId="0" borderId="3" xfId="0" applyNumberFormat="1" applyFont="1" applyFill="1" applyBorder="1" applyAlignment="1">
      <alignment horizontal="right" vertical="center" wrapText="1"/>
    </xf>
    <xf numFmtId="180" fontId="73" fillId="0" borderId="3" xfId="0" applyNumberFormat="1" applyFont="1" applyFill="1" applyBorder="1" applyAlignment="1">
      <alignment horizontal="right" vertical="center" wrapText="1"/>
    </xf>
    <xf numFmtId="183" fontId="64" fillId="0" borderId="0" xfId="0" applyNumberFormat="1" applyFont="1" applyFill="1" applyBorder="1" applyAlignment="1">
      <alignment vertical="center"/>
    </xf>
    <xf numFmtId="4" fontId="64" fillId="0" borderId="3" xfId="0" applyNumberFormat="1" applyFont="1" applyFill="1" applyBorder="1" applyAlignment="1">
      <alignment wrapText="1"/>
    </xf>
    <xf numFmtId="171" fontId="71" fillId="0" borderId="3" xfId="0" applyNumberFormat="1" applyFont="1" applyFill="1" applyBorder="1" applyAlignment="1">
      <alignment horizontal="right" vertical="center" wrapText="1" shrinkToFit="1"/>
    </xf>
    <xf numFmtId="171" fontId="64" fillId="0" borderId="3" xfId="0" applyNumberFormat="1" applyFont="1" applyFill="1" applyBorder="1" applyAlignment="1">
      <alignment horizontal="right" wrapText="1"/>
    </xf>
    <xf numFmtId="171" fontId="81" fillId="0" borderId="3" xfId="0" applyNumberFormat="1" applyFont="1" applyFill="1" applyBorder="1" applyAlignment="1">
      <alignment horizontal="right" vertical="center" wrapText="1"/>
    </xf>
    <xf numFmtId="171" fontId="81" fillId="0" borderId="3" xfId="0" applyNumberFormat="1" applyFont="1" applyFill="1" applyBorder="1" applyAlignment="1">
      <alignment horizontal="right" vertical="center" wrapText="1" shrinkToFit="1"/>
    </xf>
    <xf numFmtId="179" fontId="71" fillId="0" borderId="3" xfId="0" applyNumberFormat="1" applyFont="1" applyFill="1" applyBorder="1" applyAlignment="1">
      <alignment horizontal="right" vertical="center" wrapText="1" shrinkToFit="1"/>
    </xf>
    <xf numFmtId="171" fontId="63" fillId="0" borderId="3" xfId="0" applyNumberFormat="1" applyFont="1" applyFill="1" applyBorder="1" applyAlignment="1">
      <alignment horizontal="right" wrapText="1"/>
    </xf>
    <xf numFmtId="171" fontId="63" fillId="0" borderId="3" xfId="0" applyNumberFormat="1" applyFont="1" applyFill="1" applyBorder="1" applyAlignment="1">
      <alignment horizontal="right" vertical="center" wrapText="1"/>
    </xf>
    <xf numFmtId="0" fontId="82" fillId="0" borderId="15" xfId="0" applyFont="1" applyFill="1" applyBorder="1" applyAlignment="1">
      <alignment horizontal="left" vertical="center" wrapText="1"/>
    </xf>
    <xf numFmtId="4" fontId="63" fillId="0" borderId="3" xfId="0" applyNumberFormat="1" applyFont="1" applyFill="1" applyBorder="1" applyAlignment="1">
      <alignment vertical="center" wrapText="1"/>
    </xf>
    <xf numFmtId="4" fontId="101" fillId="0" borderId="3" xfId="0" applyNumberFormat="1" applyFont="1" applyFill="1" applyBorder="1" applyAlignment="1">
      <alignment vertical="center" wrapText="1"/>
    </xf>
    <xf numFmtId="4" fontId="101" fillId="0" borderId="3" xfId="0" applyNumberFormat="1" applyFont="1" applyFill="1" applyBorder="1" applyAlignment="1">
      <alignment wrapText="1"/>
    </xf>
    <xf numFmtId="4" fontId="64" fillId="0" borderId="3" xfId="0" applyNumberFormat="1" applyFont="1" applyFill="1" applyBorder="1" applyAlignment="1">
      <alignment vertical="center" wrapText="1"/>
    </xf>
    <xf numFmtId="0" fontId="101" fillId="0" borderId="3" xfId="0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left" wrapText="1"/>
    </xf>
    <xf numFmtId="170" fontId="63" fillId="0" borderId="0" xfId="0" applyNumberFormat="1" applyFont="1" applyFill="1" applyBorder="1" applyAlignment="1">
      <alignment horizontal="center" vertical="center" wrapText="1"/>
    </xf>
    <xf numFmtId="1" fontId="69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vertical="center" wrapText="1"/>
    </xf>
    <xf numFmtId="179" fontId="71" fillId="0" borderId="3" xfId="0" applyNumberFormat="1" applyFont="1" applyFill="1" applyBorder="1" applyAlignment="1">
      <alignment horizontal="left" vertical="center" wrapText="1"/>
    </xf>
    <xf numFmtId="4" fontId="71" fillId="0" borderId="3" xfId="0" applyNumberFormat="1" applyFont="1" applyFill="1" applyBorder="1" applyAlignment="1">
      <alignment horizontal="left" vertical="center" wrapText="1"/>
    </xf>
    <xf numFmtId="170" fontId="64" fillId="0" borderId="13" xfId="0" applyNumberFormat="1" applyFont="1" applyFill="1" applyBorder="1" applyAlignment="1">
      <alignment horizontal="center" vertical="center"/>
    </xf>
    <xf numFmtId="0" fontId="71" fillId="0" borderId="13" xfId="0" applyFont="1" applyFill="1" applyBorder="1" applyAlignment="1">
      <alignment horizontal="center" vertical="center"/>
    </xf>
    <xf numFmtId="179" fontId="62" fillId="0" borderId="3" xfId="0" applyNumberFormat="1" applyFont="1" applyFill="1" applyBorder="1" applyAlignment="1">
      <alignment horizontal="left" vertical="center" wrapText="1"/>
    </xf>
    <xf numFmtId="4" fontId="64" fillId="0" borderId="3" xfId="0" applyNumberFormat="1" applyFont="1" applyBorder="1" applyAlignment="1">
      <alignment wrapText="1"/>
    </xf>
    <xf numFmtId="0" fontId="71" fillId="0" borderId="15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 wrapText="1"/>
    </xf>
    <xf numFmtId="49" fontId="73" fillId="0" borderId="3" xfId="0" applyNumberFormat="1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49" fontId="71" fillId="0" borderId="3" xfId="0" applyNumberFormat="1" applyFont="1" applyBorder="1" applyAlignment="1">
      <alignment horizontal="center" vertical="center" wrapText="1"/>
    </xf>
    <xf numFmtId="49" fontId="78" fillId="0" borderId="3" xfId="0" applyNumberFormat="1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49" fontId="81" fillId="0" borderId="3" xfId="0" applyNumberFormat="1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left" vertical="center" wrapText="1"/>
    </xf>
    <xf numFmtId="49" fontId="101" fillId="0" borderId="3" xfId="0" applyNumberFormat="1" applyFont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right" vertical="center" wrapText="1"/>
    </xf>
    <xf numFmtId="179" fontId="101" fillId="0" borderId="3" xfId="0" applyNumberFormat="1" applyFont="1" applyFill="1" applyBorder="1" applyAlignment="1">
      <alignment horizontal="right" vertical="center" wrapText="1"/>
    </xf>
    <xf numFmtId="171" fontId="64" fillId="0" borderId="3" xfId="0" applyNumberFormat="1" applyFont="1" applyFill="1" applyBorder="1" applyAlignment="1">
      <alignment horizontal="right" vertical="center" wrapText="1"/>
    </xf>
    <xf numFmtId="179" fontId="63" fillId="0" borderId="3" xfId="0" applyNumberFormat="1" applyFont="1" applyFill="1" applyBorder="1" applyAlignment="1">
      <alignment horizontal="right" vertical="center" wrapText="1"/>
    </xf>
    <xf numFmtId="0" fontId="71" fillId="0" borderId="3" xfId="0" applyFont="1" applyBorder="1" applyAlignment="1">
      <alignment horizontal="left" vertical="center" wrapText="1"/>
    </xf>
    <xf numFmtId="4" fontId="71" fillId="0" borderId="3" xfId="0" applyNumberFormat="1" applyFont="1" applyBorder="1" applyAlignment="1">
      <alignment horizontal="left" vertical="center" wrapText="1"/>
    </xf>
    <xf numFmtId="170" fontId="64" fillId="0" borderId="3" xfId="0" applyNumberFormat="1" applyFont="1" applyFill="1" applyBorder="1" applyAlignment="1">
      <alignment vertical="center" wrapText="1"/>
    </xf>
    <xf numFmtId="170" fontId="64" fillId="0" borderId="3" xfId="0" applyNumberFormat="1" applyFont="1" applyFill="1" applyBorder="1" applyAlignment="1">
      <alignment vertical="center"/>
    </xf>
    <xf numFmtId="179" fontId="71" fillId="0" borderId="3" xfId="0" applyNumberFormat="1" applyFont="1" applyFill="1" applyBorder="1" applyAlignment="1">
      <alignment vertical="center" wrapText="1"/>
    </xf>
    <xf numFmtId="170" fontId="71" fillId="0" borderId="3" xfId="0" applyNumberFormat="1" applyFont="1" applyFill="1" applyBorder="1" applyAlignment="1">
      <alignment vertical="center" wrapText="1"/>
    </xf>
    <xf numFmtId="170" fontId="64" fillId="0" borderId="0" xfId="0" applyNumberFormat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horizontal="left" vertical="center"/>
    </xf>
    <xf numFmtId="0" fontId="64" fillId="0" borderId="3" xfId="0" applyFont="1" applyFill="1" applyBorder="1" applyAlignment="1">
      <alignment vertical="center"/>
    </xf>
    <xf numFmtId="179" fontId="64" fillId="0" borderId="16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2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wrapText="1"/>
    </xf>
    <xf numFmtId="183" fontId="69" fillId="0" borderId="0" xfId="0" applyNumberFormat="1" applyFont="1" applyFill="1" applyAlignment="1"/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1" fontId="73" fillId="0" borderId="0" xfId="0" applyNumberFormat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 shrinkToFit="1"/>
    </xf>
    <xf numFmtId="1" fontId="71" fillId="0" borderId="0" xfId="0" applyNumberFormat="1" applyFont="1" applyFill="1" applyBorder="1" applyAlignment="1">
      <alignment horizontal="left" vertical="center" wrapText="1"/>
    </xf>
    <xf numFmtId="1" fontId="71" fillId="0" borderId="0" xfId="0" applyNumberFormat="1" applyFont="1" applyFill="1" applyBorder="1" applyAlignment="1">
      <alignment horizontal="left" vertical="center"/>
    </xf>
    <xf numFmtId="1" fontId="64" fillId="0" borderId="0" xfId="0" applyNumberFormat="1" applyFont="1" applyFill="1" applyBorder="1" applyAlignment="1">
      <alignment horizontal="left" vertical="center"/>
    </xf>
    <xf numFmtId="183" fontId="62" fillId="0" borderId="0" xfId="0" applyNumberFormat="1" applyFont="1" applyFill="1" applyBorder="1" applyAlignment="1">
      <alignment horizontal="right" vertical="center"/>
    </xf>
    <xf numFmtId="0" fontId="62" fillId="0" borderId="0" xfId="0" applyFont="1" applyFill="1" applyBorder="1" applyAlignment="1">
      <alignment horizontal="right" vertical="center"/>
    </xf>
    <xf numFmtId="179" fontId="71" fillId="0" borderId="0" xfId="0" applyNumberFormat="1" applyFont="1" applyFill="1" applyBorder="1" applyAlignment="1">
      <alignment horizontal="right" vertical="center"/>
    </xf>
    <xf numFmtId="0" fontId="72" fillId="0" borderId="0" xfId="0" applyFont="1" applyFill="1" applyAlignment="1">
      <alignment horizontal="center" vertical="center"/>
    </xf>
    <xf numFmtId="0" fontId="70" fillId="0" borderId="13" xfId="0" applyFont="1" applyFill="1" applyBorder="1" applyAlignment="1">
      <alignment horizontal="center"/>
    </xf>
    <xf numFmtId="0" fontId="75" fillId="0" borderId="15" xfId="0" applyFont="1" applyFill="1" applyBorder="1" applyAlignment="1">
      <alignment horizontal="center" vertical="center"/>
    </xf>
    <xf numFmtId="0" fontId="75" fillId="0" borderId="14" xfId="0" applyFont="1" applyFill="1" applyBorder="1" applyAlignment="1">
      <alignment horizontal="center" vertical="center"/>
    </xf>
    <xf numFmtId="0" fontId="75" fillId="0" borderId="16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72" fillId="0" borderId="22" xfId="0" applyFont="1" applyFill="1" applyBorder="1" applyAlignment="1">
      <alignment horizontal="center" vertical="center" wrapText="1"/>
    </xf>
    <xf numFmtId="0" fontId="72" fillId="0" borderId="23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/>
    </xf>
    <xf numFmtId="0" fontId="72" fillId="0" borderId="18" xfId="0" applyFont="1" applyFill="1" applyBorder="1" applyAlignment="1">
      <alignment horizontal="center" vertical="center"/>
    </xf>
    <xf numFmtId="171" fontId="72" fillId="0" borderId="14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top" wrapText="1"/>
    </xf>
    <xf numFmtId="0" fontId="75" fillId="0" borderId="0" xfId="0" applyFont="1" applyFill="1" applyBorder="1" applyAlignment="1">
      <alignment horizontal="center" vertical="top"/>
    </xf>
    <xf numFmtId="0" fontId="75" fillId="0" borderId="3" xfId="0" applyFont="1" applyFill="1" applyBorder="1" applyAlignment="1">
      <alignment horizontal="center" vertical="center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71" fontId="74" fillId="0" borderId="13" xfId="0" applyNumberFormat="1" applyFont="1" applyFill="1" applyBorder="1" applyAlignment="1">
      <alignment horizontal="left" wrapText="1"/>
    </xf>
    <xf numFmtId="0" fontId="64" fillId="0" borderId="19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2" fontId="73" fillId="0" borderId="15" xfId="0" applyNumberFormat="1" applyFont="1" applyFill="1" applyBorder="1" applyAlignment="1">
      <alignment horizontal="left" vertical="center" wrapText="1"/>
    </xf>
    <xf numFmtId="2" fontId="73" fillId="0" borderId="16" xfId="0" applyNumberFormat="1" applyFont="1" applyFill="1" applyBorder="1" applyAlignment="1">
      <alignment horizontal="left" vertical="center" wrapText="1"/>
    </xf>
    <xf numFmtId="0" fontId="63" fillId="0" borderId="15" xfId="0" applyFont="1" applyFill="1" applyBorder="1" applyAlignment="1">
      <alignment horizontal="center" vertical="center" wrapText="1"/>
    </xf>
    <xf numFmtId="0" fontId="63" fillId="0" borderId="16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wrapText="1"/>
    </xf>
    <xf numFmtId="171" fontId="100" fillId="0" borderId="13" xfId="0" applyNumberFormat="1" applyFont="1" applyFill="1" applyBorder="1" applyAlignment="1">
      <alignment horizontal="left" wrapText="1"/>
    </xf>
    <xf numFmtId="0" fontId="73" fillId="0" borderId="14" xfId="0" applyFont="1" applyFill="1" applyBorder="1" applyAlignment="1">
      <alignment horizontal="center" wrapText="1"/>
    </xf>
    <xf numFmtId="0" fontId="69" fillId="0" borderId="19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86" fillId="0" borderId="14" xfId="0" applyFont="1" applyFill="1" applyBorder="1" applyAlignment="1">
      <alignment horizontal="center"/>
    </xf>
    <xf numFmtId="0" fontId="67" fillId="0" borderId="0" xfId="0" applyFont="1" applyFill="1" applyAlignment="1">
      <alignment vertical="center" wrapText="1"/>
    </xf>
    <xf numFmtId="0" fontId="68" fillId="0" borderId="0" xfId="0" applyFont="1" applyFill="1" applyAlignment="1">
      <alignment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3" fontId="63" fillId="0" borderId="15" xfId="0" applyNumberFormat="1" applyFont="1" applyFill="1" applyBorder="1" applyAlignment="1">
      <alignment horizontal="left" vertical="center" wrapText="1"/>
    </xf>
    <xf numFmtId="3" fontId="63" fillId="0" borderId="16" xfId="0" applyNumberFormat="1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horizontal="center" wrapText="1"/>
    </xf>
    <xf numFmtId="0" fontId="83" fillId="0" borderId="14" xfId="0" applyFont="1" applyFill="1" applyBorder="1" applyAlignment="1">
      <alignment horizontal="center"/>
    </xf>
    <xf numFmtId="0" fontId="63" fillId="30" borderId="0" xfId="0" applyFont="1" applyFill="1" applyBorder="1" applyAlignment="1">
      <alignment horizontal="center" vertical="center" wrapText="1"/>
    </xf>
    <xf numFmtId="0" fontId="64" fillId="30" borderId="17" xfId="0" applyFont="1" applyFill="1" applyBorder="1" applyAlignment="1">
      <alignment horizontal="center" vertical="center" wrapText="1"/>
    </xf>
    <xf numFmtId="0" fontId="64" fillId="30" borderId="3" xfId="0" applyFont="1" applyFill="1" applyBorder="1" applyAlignment="1">
      <alignment horizontal="center" vertical="center" wrapText="1"/>
    </xf>
    <xf numFmtId="0" fontId="71" fillId="30" borderId="3" xfId="0" applyFont="1" applyFill="1" applyBorder="1" applyAlignment="1">
      <alignment horizontal="center" vertical="center" wrapText="1"/>
    </xf>
    <xf numFmtId="180" fontId="73" fillId="30" borderId="3" xfId="0" applyNumberFormat="1" applyFont="1" applyFill="1" applyBorder="1" applyAlignment="1">
      <alignment horizontal="right" vertical="center" wrapText="1"/>
    </xf>
    <xf numFmtId="171" fontId="73" fillId="30" borderId="3" xfId="0" applyNumberFormat="1" applyFont="1" applyFill="1" applyBorder="1" applyAlignment="1">
      <alignment horizontal="right" vertical="center" wrapText="1"/>
    </xf>
    <xf numFmtId="182" fontId="71" fillId="30" borderId="3" xfId="0" applyNumberFormat="1" applyFont="1" applyFill="1" applyBorder="1" applyAlignment="1">
      <alignment horizontal="right" vertical="center" wrapText="1"/>
    </xf>
    <xf numFmtId="171" fontId="71" fillId="30" borderId="3" xfId="0" applyNumberFormat="1" applyFont="1" applyFill="1" applyBorder="1" applyAlignment="1">
      <alignment horizontal="right" vertical="center" wrapText="1"/>
    </xf>
    <xf numFmtId="182" fontId="71" fillId="30" borderId="3" xfId="0" applyNumberFormat="1" applyFont="1" applyFill="1" applyBorder="1" applyAlignment="1">
      <alignment horizontal="right" vertical="center"/>
    </xf>
    <xf numFmtId="179" fontId="73" fillId="30" borderId="3" xfId="0" applyNumberFormat="1" applyFont="1" applyFill="1" applyBorder="1" applyAlignment="1">
      <alignment horizontal="right" vertical="center" wrapText="1"/>
    </xf>
    <xf numFmtId="182" fontId="71" fillId="30" borderId="3" xfId="0" applyNumberFormat="1" applyFont="1" applyFill="1" applyBorder="1" applyAlignment="1">
      <alignment horizontal="right" vertical="center" wrapText="1" shrinkToFit="1"/>
    </xf>
    <xf numFmtId="179" fontId="71" fillId="30" borderId="3" xfId="0" applyNumberFormat="1" applyFont="1" applyFill="1" applyBorder="1" applyAlignment="1">
      <alignment horizontal="right" vertical="center" wrapText="1"/>
    </xf>
    <xf numFmtId="171" fontId="73" fillId="30" borderId="3" xfId="0" applyNumberFormat="1" applyFont="1" applyFill="1" applyBorder="1" applyAlignment="1">
      <alignment horizontal="right" vertical="center" wrapText="1" shrinkToFit="1"/>
    </xf>
    <xf numFmtId="0" fontId="64" fillId="30" borderId="0" xfId="0" applyFont="1" applyFill="1" applyBorder="1" applyAlignment="1">
      <alignment horizontal="center" vertical="center"/>
    </xf>
    <xf numFmtId="0" fontId="73" fillId="30" borderId="0" xfId="0" applyFont="1" applyFill="1" applyBorder="1" applyAlignment="1">
      <alignment horizontal="center" vertical="center" wrapText="1"/>
    </xf>
    <xf numFmtId="179" fontId="78" fillId="30" borderId="3" xfId="0" applyNumberFormat="1" applyFont="1" applyFill="1" applyBorder="1" applyAlignment="1">
      <alignment horizontal="right" vertical="center" wrapText="1"/>
    </xf>
    <xf numFmtId="179" fontId="81" fillId="30" borderId="3" xfId="0" applyNumberFormat="1" applyFont="1" applyFill="1" applyBorder="1" applyAlignment="1">
      <alignment horizontal="right" vertical="center" wrapText="1"/>
    </xf>
    <xf numFmtId="179" fontId="81" fillId="30" borderId="3" xfId="0" applyNumberFormat="1" applyFont="1" applyFill="1" applyBorder="1" applyAlignment="1">
      <alignment horizontal="right" vertical="center" wrapText="1" shrinkToFit="1"/>
    </xf>
    <xf numFmtId="171" fontId="78" fillId="30" borderId="3" xfId="0" applyNumberFormat="1" applyFont="1" applyFill="1" applyBorder="1" applyAlignment="1">
      <alignment horizontal="right" vertical="center" wrapText="1"/>
    </xf>
    <xf numFmtId="179" fontId="73" fillId="30" borderId="3" xfId="0" applyNumberFormat="1" applyFont="1" applyFill="1" applyBorder="1" applyAlignment="1">
      <alignment vertical="center" wrapText="1"/>
    </xf>
    <xf numFmtId="179" fontId="78" fillId="30" borderId="3" xfId="0" applyNumberFormat="1" applyFont="1" applyFill="1" applyBorder="1" applyAlignment="1">
      <alignment vertical="center" wrapText="1"/>
    </xf>
    <xf numFmtId="179" fontId="81" fillId="30" borderId="3" xfId="0" applyNumberFormat="1" applyFont="1" applyFill="1" applyBorder="1" applyAlignment="1">
      <alignment vertical="center" wrapText="1"/>
    </xf>
    <xf numFmtId="179" fontId="81" fillId="30" borderId="15" xfId="0" applyNumberFormat="1" applyFont="1" applyFill="1" applyBorder="1" applyAlignment="1">
      <alignment horizontal="right" vertical="center" wrapText="1"/>
    </xf>
    <xf numFmtId="171" fontId="71" fillId="30" borderId="0" xfId="0" applyNumberFormat="1" applyFont="1" applyFill="1" applyBorder="1" applyAlignment="1">
      <alignment horizontal="left" wrapText="1"/>
    </xf>
    <xf numFmtId="0" fontId="71" fillId="30" borderId="0" xfId="0" applyFont="1" applyFill="1" applyBorder="1" applyAlignment="1">
      <alignment horizontal="left" vertical="center" wrapText="1"/>
    </xf>
    <xf numFmtId="0" fontId="71" fillId="30" borderId="0" xfId="0" applyFont="1" applyFill="1" applyBorder="1" applyAlignment="1">
      <alignment horizontal="center" vertical="center"/>
    </xf>
    <xf numFmtId="0" fontId="71" fillId="30" borderId="0" xfId="0" applyFont="1" applyFill="1" applyBorder="1" applyAlignment="1">
      <alignment vertical="center"/>
    </xf>
    <xf numFmtId="0" fontId="71" fillId="0" borderId="0" xfId="0" applyFont="1" applyBorder="1" applyAlignment="1">
      <alignment horizontal="center" vertical="center" wrapText="1"/>
    </xf>
    <xf numFmtId="4" fontId="71" fillId="0" borderId="0" xfId="0" applyNumberFormat="1" applyFont="1" applyBorder="1" applyAlignment="1">
      <alignment horizontal="center" vertical="center" wrapText="1"/>
    </xf>
    <xf numFmtId="4" fontId="73" fillId="0" borderId="0" xfId="0" applyNumberFormat="1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171" fontId="71" fillId="0" borderId="0" xfId="0" applyNumberFormat="1" applyFont="1" applyFill="1" applyBorder="1" applyAlignment="1">
      <alignment vertical="center"/>
    </xf>
    <xf numFmtId="183" fontId="64" fillId="29" borderId="0" xfId="0" applyNumberFormat="1" applyFont="1" applyFill="1" applyBorder="1" applyAlignment="1">
      <alignment vertic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1139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CCFF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O249"/>
  <sheetViews>
    <sheetView view="pageBreakPreview" topLeftCell="A79" zoomScale="75" zoomScaleNormal="75" zoomScaleSheetLayoutView="75" workbookViewId="0">
      <selection activeCell="F88" sqref="F88"/>
    </sheetView>
  </sheetViews>
  <sheetFormatPr defaultRowHeight="20.25"/>
  <cols>
    <col min="1" max="1" width="58.42578125" style="1" customWidth="1"/>
    <col min="2" max="2" width="11.140625" style="60" customWidth="1"/>
    <col min="3" max="3" width="16.140625" style="60" customWidth="1"/>
    <col min="4" max="4" width="17.7109375" style="60" customWidth="1"/>
    <col min="5" max="5" width="16.140625" style="1" customWidth="1"/>
    <col min="6" max="6" width="16" style="1" customWidth="1"/>
    <col min="7" max="7" width="18.140625" style="1" customWidth="1"/>
    <col min="8" max="8" width="17.42578125" style="1" customWidth="1"/>
    <col min="9" max="10" width="16.7109375" style="1" customWidth="1"/>
    <col min="11" max="11" width="20.28515625" style="1" customWidth="1"/>
    <col min="12" max="12" width="19.140625" style="1" customWidth="1"/>
    <col min="13" max="13" width="17.42578125" style="1" customWidth="1"/>
    <col min="14" max="14" width="15.85546875" style="1" customWidth="1"/>
    <col min="15" max="16384" width="9.140625" style="1"/>
  </cols>
  <sheetData>
    <row r="1" spans="1:12" ht="93.75" customHeight="1">
      <c r="A1" s="307" t="s">
        <v>351</v>
      </c>
      <c r="B1" s="308"/>
      <c r="C1" s="308"/>
      <c r="D1" s="308"/>
      <c r="E1" s="308"/>
      <c r="F1" s="308"/>
      <c r="G1" s="308"/>
      <c r="H1" s="308"/>
    </row>
    <row r="2" spans="1:12" ht="24" customHeight="1">
      <c r="A2" s="306" t="s">
        <v>15</v>
      </c>
      <c r="B2" s="306"/>
      <c r="C2" s="306"/>
      <c r="D2" s="306"/>
      <c r="E2" s="306"/>
      <c r="F2" s="306"/>
      <c r="G2" s="306"/>
      <c r="H2" s="306"/>
    </row>
    <row r="3" spans="1:12" s="100" customFormat="1" ht="16.5" customHeight="1">
      <c r="A3" s="64"/>
      <c r="B3" s="65"/>
      <c r="C3" s="178"/>
      <c r="D3" s="65"/>
      <c r="E3" s="65"/>
      <c r="F3" s="65"/>
      <c r="G3" s="65"/>
      <c r="H3" s="66" t="s">
        <v>51</v>
      </c>
    </row>
    <row r="4" spans="1:12" ht="60.75" customHeight="1">
      <c r="A4" s="313" t="s">
        <v>20</v>
      </c>
      <c r="B4" s="314" t="s">
        <v>4</v>
      </c>
      <c r="C4" s="314" t="s">
        <v>101</v>
      </c>
      <c r="D4" s="314"/>
      <c r="E4" s="313" t="s">
        <v>352</v>
      </c>
      <c r="F4" s="313"/>
      <c r="G4" s="313"/>
      <c r="H4" s="313"/>
    </row>
    <row r="5" spans="1:12" ht="46.5" customHeight="1">
      <c r="A5" s="313"/>
      <c r="B5" s="314"/>
      <c r="C5" s="9" t="s">
        <v>353</v>
      </c>
      <c r="D5" s="9" t="s">
        <v>354</v>
      </c>
      <c r="E5" s="67" t="s">
        <v>151</v>
      </c>
      <c r="F5" s="67" t="s">
        <v>91</v>
      </c>
      <c r="G5" s="67" t="s">
        <v>92</v>
      </c>
      <c r="H5" s="67" t="s">
        <v>93</v>
      </c>
    </row>
    <row r="6" spans="1:12" s="100" customFormat="1" ht="21" customHeight="1">
      <c r="A6" s="62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</row>
    <row r="7" spans="1:12" ht="23.25" customHeight="1">
      <c r="A7" s="315" t="s">
        <v>80</v>
      </c>
      <c r="B7" s="315"/>
      <c r="C7" s="315"/>
      <c r="D7" s="315"/>
      <c r="E7" s="315"/>
      <c r="F7" s="315"/>
      <c r="G7" s="315"/>
      <c r="H7" s="315"/>
    </row>
    <row r="8" spans="1:12" ht="42" customHeight="1">
      <c r="A8" s="68" t="s">
        <v>216</v>
      </c>
      <c r="B8" s="69">
        <v>1000</v>
      </c>
      <c r="C8" s="46">
        <v>216900</v>
      </c>
      <c r="D8" s="46">
        <v>269811.09999999998</v>
      </c>
      <c r="E8" s="209">
        <v>247397.7</v>
      </c>
      <c r="F8" s="46">
        <v>269811.09999999998</v>
      </c>
      <c r="G8" s="70">
        <f>F8-E8</f>
        <v>22413.399999999965</v>
      </c>
      <c r="H8" s="70">
        <f>(F8/E8)*100</f>
        <v>109.0596638529784</v>
      </c>
      <c r="K8" s="34"/>
    </row>
    <row r="9" spans="1:12" ht="63.75" customHeight="1">
      <c r="A9" s="68" t="s">
        <v>60</v>
      </c>
      <c r="B9" s="69">
        <v>1010</v>
      </c>
      <c r="C9" s="70">
        <f t="shared" ref="C9" si="0">SUM(C10:C14)</f>
        <v>-241854.5</v>
      </c>
      <c r="D9" s="70">
        <f>SUM(D10:D14)</f>
        <v>-273430.2</v>
      </c>
      <c r="E9" s="46">
        <f>SUM(E10:E14)</f>
        <v>-259960.4</v>
      </c>
      <c r="F9" s="70">
        <f>SUM(F10:F14)</f>
        <v>-273430.2</v>
      </c>
      <c r="G9" s="70">
        <f>F9-E9</f>
        <v>-13469.800000000017</v>
      </c>
      <c r="H9" s="70">
        <f t="shared" ref="H9:H43" si="1">(F9/E9)*100</f>
        <v>105.18148148718036</v>
      </c>
      <c r="K9" s="55"/>
    </row>
    <row r="10" spans="1:12" ht="24.75" customHeight="1">
      <c r="A10" s="71" t="s">
        <v>61</v>
      </c>
      <c r="B10" s="266">
        <v>1011</v>
      </c>
      <c r="C10" s="22">
        <v>-81801.399999999994</v>
      </c>
      <c r="D10" s="22">
        <v>-93459.1</v>
      </c>
      <c r="E10" s="22">
        <v>-88777.4</v>
      </c>
      <c r="F10" s="22">
        <v>-93459.1</v>
      </c>
      <c r="G10" s="23">
        <f t="shared" ref="G10:G43" si="2">F10-E10</f>
        <v>-4681.7000000000116</v>
      </c>
      <c r="H10" s="23">
        <f t="shared" si="1"/>
        <v>105.27352682101527</v>
      </c>
    </row>
    <row r="11" spans="1:12" ht="25.5" customHeight="1">
      <c r="A11" s="71" t="s">
        <v>1</v>
      </c>
      <c r="B11" s="266">
        <v>1012</v>
      </c>
      <c r="C11" s="22">
        <v>-112972.3</v>
      </c>
      <c r="D11" s="22">
        <v>-124941.9</v>
      </c>
      <c r="E11" s="22">
        <v>-120584.1</v>
      </c>
      <c r="F11" s="22">
        <v>-124941.9</v>
      </c>
      <c r="G11" s="23">
        <f t="shared" si="2"/>
        <v>-4357.7999999999884</v>
      </c>
      <c r="H11" s="23">
        <f t="shared" si="1"/>
        <v>103.61390929649927</v>
      </c>
      <c r="K11" s="55"/>
    </row>
    <row r="12" spans="1:12" ht="25.5" customHeight="1">
      <c r="A12" s="71" t="s">
        <v>2</v>
      </c>
      <c r="B12" s="266">
        <v>1013</v>
      </c>
      <c r="C12" s="22">
        <v>-24501.3</v>
      </c>
      <c r="D12" s="22">
        <v>-27057.4</v>
      </c>
      <c r="E12" s="22">
        <v>-26243.5</v>
      </c>
      <c r="F12" s="22">
        <v>-27057.4</v>
      </c>
      <c r="G12" s="23">
        <f t="shared" si="2"/>
        <v>-813.90000000000146</v>
      </c>
      <c r="H12" s="23">
        <f t="shared" si="1"/>
        <v>103.10133937927488</v>
      </c>
      <c r="I12" s="55"/>
      <c r="J12" s="55"/>
    </row>
    <row r="13" spans="1:12" ht="24" customHeight="1">
      <c r="A13" s="71" t="s">
        <v>3</v>
      </c>
      <c r="B13" s="266">
        <v>1014</v>
      </c>
      <c r="C13" s="22">
        <v>-19568.400000000001</v>
      </c>
      <c r="D13" s="22">
        <v>-25303.599999999999</v>
      </c>
      <c r="E13" s="22">
        <v>-20800</v>
      </c>
      <c r="F13" s="22">
        <v>-25303.599999999999</v>
      </c>
      <c r="G13" s="23">
        <f t="shared" si="2"/>
        <v>-4503.5999999999985</v>
      </c>
      <c r="H13" s="23">
        <f t="shared" si="1"/>
        <v>121.65192307692307</v>
      </c>
      <c r="I13" s="87"/>
      <c r="J13" s="87"/>
      <c r="K13" s="87"/>
      <c r="L13" s="87"/>
    </row>
    <row r="14" spans="1:12" ht="24" customHeight="1">
      <c r="A14" s="71" t="s">
        <v>44</v>
      </c>
      <c r="B14" s="266">
        <v>1015</v>
      </c>
      <c r="C14" s="22">
        <v>-3011.1</v>
      </c>
      <c r="D14" s="22">
        <v>-2668.2</v>
      </c>
      <c r="E14" s="22">
        <v>-3555.4</v>
      </c>
      <c r="F14" s="22">
        <v>-2668.2</v>
      </c>
      <c r="G14" s="23">
        <f t="shared" si="2"/>
        <v>887.20000000000027</v>
      </c>
      <c r="H14" s="23">
        <f t="shared" si="1"/>
        <v>75.046408280362257</v>
      </c>
      <c r="I14" s="55"/>
      <c r="J14" s="55">
        <v>-3555.4</v>
      </c>
    </row>
    <row r="15" spans="1:12" ht="28.5" customHeight="1">
      <c r="A15" s="68" t="s">
        <v>22</v>
      </c>
      <c r="B15" s="266">
        <v>1020</v>
      </c>
      <c r="C15" s="70">
        <f t="shared" ref="C15" si="3">SUM(C8:C9)</f>
        <v>-24954.5</v>
      </c>
      <c r="D15" s="70">
        <f t="shared" ref="D15" si="4">SUM(D8:D9)</f>
        <v>-3619.1000000000349</v>
      </c>
      <c r="E15" s="46">
        <f>SUM(E8:E9)</f>
        <v>-12562.699999999983</v>
      </c>
      <c r="F15" s="70">
        <f t="shared" ref="F15" si="5">SUM(F8:F9)</f>
        <v>-3619.1000000000349</v>
      </c>
      <c r="G15" s="70">
        <f t="shared" si="2"/>
        <v>8943.5999999999476</v>
      </c>
      <c r="H15" s="70">
        <f t="shared" si="1"/>
        <v>28.808297579342341</v>
      </c>
      <c r="J15" s="1">
        <v>-982</v>
      </c>
    </row>
    <row r="16" spans="1:12" ht="43.5" customHeight="1">
      <c r="A16" s="68" t="s">
        <v>75</v>
      </c>
      <c r="B16" s="69">
        <v>1020</v>
      </c>
      <c r="C16" s="70">
        <f t="shared" ref="C16" si="6">SUM(C17:C21)</f>
        <v>-10480.4</v>
      </c>
      <c r="D16" s="70">
        <f t="shared" ref="D16" si="7">SUM(D17:D21)</f>
        <v>-14399.300000000003</v>
      </c>
      <c r="E16" s="46">
        <f>SUM(E17:E21)</f>
        <v>-13497</v>
      </c>
      <c r="F16" s="70">
        <f t="shared" ref="F16" si="8">SUM(F17:F21)</f>
        <v>-14399.300000000003</v>
      </c>
      <c r="G16" s="70">
        <f t="shared" si="2"/>
        <v>-902.30000000000291</v>
      </c>
      <c r="H16" s="70">
        <f t="shared" si="1"/>
        <v>106.68518930132625</v>
      </c>
      <c r="J16" s="1">
        <v>-485</v>
      </c>
    </row>
    <row r="17" spans="1:13" ht="27" customHeight="1">
      <c r="A17" s="71" t="s">
        <v>61</v>
      </c>
      <c r="B17" s="266">
        <v>1021</v>
      </c>
      <c r="C17" s="22">
        <v>-85</v>
      </c>
      <c r="D17" s="22">
        <v>-42.1</v>
      </c>
      <c r="E17" s="22">
        <v>-110</v>
      </c>
      <c r="F17" s="22">
        <v>-42.1</v>
      </c>
      <c r="G17" s="23">
        <f t="shared" si="2"/>
        <v>67.900000000000006</v>
      </c>
      <c r="H17" s="23">
        <f t="shared" si="1"/>
        <v>38.272727272727273</v>
      </c>
      <c r="I17" s="55"/>
      <c r="J17" s="55"/>
    </row>
    <row r="18" spans="1:13" ht="27.75" customHeight="1">
      <c r="A18" s="71" t="s">
        <v>1</v>
      </c>
      <c r="B18" s="266">
        <v>1022</v>
      </c>
      <c r="C18" s="22">
        <v>-8197.5</v>
      </c>
      <c r="D18" s="22">
        <v>-11199.7</v>
      </c>
      <c r="E18" s="22">
        <v>-10350</v>
      </c>
      <c r="F18" s="22">
        <v>-11199.7</v>
      </c>
      <c r="G18" s="23">
        <f t="shared" si="2"/>
        <v>-849.70000000000073</v>
      </c>
      <c r="H18" s="23">
        <f t="shared" si="1"/>
        <v>108.2096618357488</v>
      </c>
      <c r="I18" s="55"/>
      <c r="J18" s="55"/>
    </row>
    <row r="19" spans="1:13" ht="25.5" customHeight="1">
      <c r="A19" s="71" t="s">
        <v>2</v>
      </c>
      <c r="B19" s="266">
        <v>1023</v>
      </c>
      <c r="C19" s="22">
        <v>-1571.5</v>
      </c>
      <c r="D19" s="22">
        <v>-2185.3000000000002</v>
      </c>
      <c r="E19" s="22">
        <v>-2055</v>
      </c>
      <c r="F19" s="22">
        <v>-2185.3000000000002</v>
      </c>
      <c r="G19" s="23">
        <f t="shared" si="2"/>
        <v>-130.30000000000018</v>
      </c>
      <c r="H19" s="23">
        <f t="shared" si="1"/>
        <v>106.34063260340633</v>
      </c>
      <c r="I19" s="55"/>
      <c r="J19" s="55"/>
    </row>
    <row r="20" spans="1:13" ht="24.75" customHeight="1">
      <c r="A20" s="71" t="s">
        <v>3</v>
      </c>
      <c r="B20" s="266">
        <v>1024</v>
      </c>
      <c r="C20" s="22"/>
      <c r="D20" s="22"/>
      <c r="E20" s="22" t="s">
        <v>261</v>
      </c>
      <c r="F20" s="22"/>
      <c r="G20" s="88" t="e">
        <f t="shared" si="2"/>
        <v>#VALUE!</v>
      </c>
      <c r="H20" s="23"/>
      <c r="I20" s="35"/>
      <c r="J20" s="35"/>
      <c r="K20" s="35"/>
      <c r="L20" s="35"/>
    </row>
    <row r="21" spans="1:13" ht="38.25" customHeight="1">
      <c r="A21" s="71" t="s">
        <v>62</v>
      </c>
      <c r="B21" s="266">
        <v>1025</v>
      </c>
      <c r="C21" s="22">
        <v>-626.4</v>
      </c>
      <c r="D21" s="22">
        <v>-972.2</v>
      </c>
      <c r="E21" s="22">
        <v>-982</v>
      </c>
      <c r="F21" s="22">
        <v>-972.2</v>
      </c>
      <c r="G21" s="23">
        <f t="shared" si="2"/>
        <v>9.7999999999999545</v>
      </c>
      <c r="H21" s="23">
        <f t="shared" si="1"/>
        <v>99.002036659877803</v>
      </c>
      <c r="I21" s="35"/>
      <c r="J21" s="35"/>
      <c r="K21" s="35"/>
      <c r="L21" s="35"/>
    </row>
    <row r="22" spans="1:13" ht="38.25" customHeight="1">
      <c r="A22" s="68" t="s">
        <v>31</v>
      </c>
      <c r="B22" s="69">
        <v>1040</v>
      </c>
      <c r="C22" s="70">
        <f>SUM(C23:C24)</f>
        <v>28366.2</v>
      </c>
      <c r="D22" s="70">
        <f>SUM(D23:D24)</f>
        <v>24709.7</v>
      </c>
      <c r="E22" s="46">
        <f>E23+E24</f>
        <v>12342.7</v>
      </c>
      <c r="F22" s="70">
        <f>SUM(F23:F24)</f>
        <v>24709.7</v>
      </c>
      <c r="G22" s="70">
        <f t="shared" si="2"/>
        <v>12367</v>
      </c>
      <c r="H22" s="70">
        <f t="shared" si="1"/>
        <v>200.19687750654231</v>
      </c>
      <c r="I22" s="53"/>
      <c r="J22" s="53"/>
      <c r="K22" s="53"/>
      <c r="L22" s="53"/>
      <c r="M22" s="53"/>
    </row>
    <row r="23" spans="1:13" ht="33" customHeight="1">
      <c r="A23" s="71" t="s">
        <v>32</v>
      </c>
      <c r="B23" s="266">
        <v>1041</v>
      </c>
      <c r="C23" s="23"/>
      <c r="D23" s="23"/>
      <c r="E23" s="22"/>
      <c r="F23" s="23"/>
      <c r="G23" s="23">
        <f t="shared" si="2"/>
        <v>0</v>
      </c>
      <c r="H23" s="72"/>
      <c r="I23" s="35"/>
      <c r="J23" s="35"/>
      <c r="K23" s="35"/>
      <c r="L23" s="35"/>
    </row>
    <row r="24" spans="1:13" ht="30" customHeight="1">
      <c r="A24" s="71" t="s">
        <v>33</v>
      </c>
      <c r="B24" s="266">
        <v>1042</v>
      </c>
      <c r="C24" s="22">
        <v>28366.2</v>
      </c>
      <c r="D24" s="22">
        <v>24709.7</v>
      </c>
      <c r="E24" s="210">
        <v>12342.7</v>
      </c>
      <c r="F24" s="22">
        <v>24709.7</v>
      </c>
      <c r="G24" s="23">
        <f t="shared" si="2"/>
        <v>12367</v>
      </c>
      <c r="H24" s="23">
        <f t="shared" si="1"/>
        <v>200.19687750654231</v>
      </c>
    </row>
    <row r="25" spans="1:13" ht="42.75" customHeight="1">
      <c r="A25" s="68" t="s">
        <v>10</v>
      </c>
      <c r="B25" s="69">
        <v>1030</v>
      </c>
      <c r="C25" s="70">
        <f t="shared" ref="C25" si="9">SUM(C26:C30)</f>
        <v>-7441.6</v>
      </c>
      <c r="D25" s="70">
        <f t="shared" ref="D25" si="10">SUM(D26:D30)</f>
        <v>-8137.5999999999995</v>
      </c>
      <c r="E25" s="46">
        <f t="shared" ref="E25:F25" si="11">SUM(E26:E30)</f>
        <v>-9100</v>
      </c>
      <c r="F25" s="70">
        <f t="shared" si="11"/>
        <v>-8137.5999999999995</v>
      </c>
      <c r="G25" s="70">
        <f t="shared" si="2"/>
        <v>962.40000000000055</v>
      </c>
      <c r="H25" s="70">
        <f t="shared" si="1"/>
        <v>89.424175824175819</v>
      </c>
    </row>
    <row r="26" spans="1:13" ht="21.95" customHeight="1">
      <c r="A26" s="71" t="s">
        <v>61</v>
      </c>
      <c r="B26" s="266">
        <v>1031</v>
      </c>
      <c r="C26" s="22">
        <v>-73.099999999999994</v>
      </c>
      <c r="D26" s="23"/>
      <c r="E26" s="22" t="s">
        <v>261</v>
      </c>
      <c r="F26" s="23"/>
      <c r="G26" s="89" t="e">
        <f t="shared" si="2"/>
        <v>#VALUE!</v>
      </c>
      <c r="H26" s="70"/>
    </row>
    <row r="27" spans="1:13" ht="21.95" customHeight="1">
      <c r="A27" s="71" t="s">
        <v>1</v>
      </c>
      <c r="B27" s="266">
        <v>1032</v>
      </c>
      <c r="C27" s="22">
        <v>-3492</v>
      </c>
      <c r="D27" s="22">
        <v>-5599.4</v>
      </c>
      <c r="E27" s="22">
        <v>-5010</v>
      </c>
      <c r="F27" s="22">
        <v>-5599.4</v>
      </c>
      <c r="G27" s="23">
        <f t="shared" si="2"/>
        <v>-589.39999999999964</v>
      </c>
      <c r="H27" s="23">
        <f t="shared" si="1"/>
        <v>111.76447105788424</v>
      </c>
    </row>
    <row r="28" spans="1:13" ht="21.95" customHeight="1">
      <c r="A28" s="71" t="s">
        <v>2</v>
      </c>
      <c r="B28" s="266">
        <v>1033</v>
      </c>
      <c r="C28" s="22">
        <v>-714.7</v>
      </c>
      <c r="D28" s="22">
        <v>-1095</v>
      </c>
      <c r="E28" s="22">
        <v>-1005</v>
      </c>
      <c r="F28" s="22">
        <v>-1095</v>
      </c>
      <c r="G28" s="23">
        <f t="shared" si="2"/>
        <v>-90</v>
      </c>
      <c r="H28" s="23">
        <f t="shared" si="1"/>
        <v>108.95522388059702</v>
      </c>
    </row>
    <row r="29" spans="1:13" ht="21.95" customHeight="1">
      <c r="A29" s="71" t="s">
        <v>3</v>
      </c>
      <c r="B29" s="266">
        <v>1034</v>
      </c>
      <c r="C29" s="22">
        <v>-2589.4</v>
      </c>
      <c r="D29" s="22">
        <v>-1194.2</v>
      </c>
      <c r="E29" s="22">
        <v>-2600</v>
      </c>
      <c r="F29" s="22">
        <v>-1194.2</v>
      </c>
      <c r="G29" s="23">
        <f t="shared" si="2"/>
        <v>1405.8</v>
      </c>
      <c r="H29" s="72"/>
    </row>
    <row r="30" spans="1:13" ht="21.95" customHeight="1">
      <c r="A30" s="71" t="s">
        <v>63</v>
      </c>
      <c r="B30" s="266">
        <v>1035</v>
      </c>
      <c r="C30" s="22">
        <v>-572.4</v>
      </c>
      <c r="D30" s="22">
        <v>-249</v>
      </c>
      <c r="E30" s="22">
        <v>-485</v>
      </c>
      <c r="F30" s="22">
        <v>-249</v>
      </c>
      <c r="G30" s="23">
        <f t="shared" si="2"/>
        <v>236</v>
      </c>
      <c r="H30" s="23">
        <f t="shared" si="1"/>
        <v>51.340206185567006</v>
      </c>
    </row>
    <row r="31" spans="1:13" ht="41.25" customHeight="1">
      <c r="A31" s="68" t="s">
        <v>0</v>
      </c>
      <c r="B31" s="266">
        <v>1100</v>
      </c>
      <c r="C31" s="70">
        <f t="shared" ref="C31" si="12">SUM(C15,C16,C22,C25)</f>
        <v>-14510.300000000001</v>
      </c>
      <c r="D31" s="70">
        <f t="shared" ref="D31:E31" si="13">SUM(D15,D16,D22,D25)</f>
        <v>-1446.3000000000366</v>
      </c>
      <c r="E31" s="46">
        <f t="shared" si="13"/>
        <v>-22816.999999999982</v>
      </c>
      <c r="F31" s="70">
        <f t="shared" ref="F31" si="14">SUM(F15,F16,F22,F25)</f>
        <v>-1446.3000000000366</v>
      </c>
      <c r="G31" s="70">
        <f t="shared" si="2"/>
        <v>21370.699999999946</v>
      </c>
      <c r="H31" s="70">
        <f t="shared" si="1"/>
        <v>6.3386948328002708</v>
      </c>
    </row>
    <row r="32" spans="1:13" ht="21.95" customHeight="1">
      <c r="A32" s="68" t="s">
        <v>217</v>
      </c>
      <c r="B32" s="69">
        <v>1130</v>
      </c>
      <c r="C32" s="70">
        <v>2936.6</v>
      </c>
      <c r="D32" s="70">
        <v>2408.1</v>
      </c>
      <c r="E32" s="211">
        <v>717</v>
      </c>
      <c r="F32" s="70">
        <v>2408.1</v>
      </c>
      <c r="G32" s="70">
        <f t="shared" si="2"/>
        <v>1691.1</v>
      </c>
      <c r="H32" s="63">
        <f t="shared" si="1"/>
        <v>335.85774058577408</v>
      </c>
      <c r="I32" s="54"/>
      <c r="J32" s="54"/>
      <c r="K32" s="53"/>
      <c r="L32" s="53"/>
      <c r="M32" s="53"/>
    </row>
    <row r="33" spans="1:15" ht="21.95" customHeight="1">
      <c r="A33" s="73" t="s">
        <v>218</v>
      </c>
      <c r="B33" s="69">
        <v>1140</v>
      </c>
      <c r="C33" s="23"/>
      <c r="D33" s="23"/>
      <c r="E33" s="22" t="s">
        <v>261</v>
      </c>
      <c r="F33" s="23"/>
      <c r="G33" s="89" t="e">
        <f t="shared" si="2"/>
        <v>#VALUE!</v>
      </c>
      <c r="H33" s="72"/>
      <c r="K33" s="53"/>
      <c r="L33" s="53"/>
      <c r="M33" s="53"/>
    </row>
    <row r="34" spans="1:15" ht="21.95" customHeight="1">
      <c r="A34" s="68" t="s">
        <v>219</v>
      </c>
      <c r="B34" s="69">
        <v>1150</v>
      </c>
      <c r="C34" s="46">
        <v>22157.8</v>
      </c>
      <c r="D34" s="46">
        <v>23879.599999999999</v>
      </c>
      <c r="E34" s="211">
        <v>22100</v>
      </c>
      <c r="F34" s="46">
        <v>23879.599999999999</v>
      </c>
      <c r="G34" s="70">
        <f t="shared" si="2"/>
        <v>1779.5999999999985</v>
      </c>
      <c r="H34" s="74">
        <f>(F34/E34)*100</f>
        <v>108.05248868778278</v>
      </c>
      <c r="I34" s="53"/>
      <c r="J34" s="53"/>
      <c r="K34" s="53"/>
      <c r="L34" s="53"/>
      <c r="M34" s="53"/>
    </row>
    <row r="35" spans="1:15" ht="21.95" customHeight="1">
      <c r="A35" s="68" t="s">
        <v>220</v>
      </c>
      <c r="B35" s="69">
        <v>1160</v>
      </c>
      <c r="C35" s="23"/>
      <c r="D35" s="23"/>
      <c r="E35" s="22" t="s">
        <v>261</v>
      </c>
      <c r="F35" s="23"/>
      <c r="G35" s="89" t="e">
        <f t="shared" si="2"/>
        <v>#VALUE!</v>
      </c>
      <c r="H35" s="72"/>
      <c r="K35" s="53"/>
      <c r="L35" s="53"/>
      <c r="M35" s="53"/>
    </row>
    <row r="36" spans="1:15" ht="43.5" customHeight="1">
      <c r="A36" s="68" t="s">
        <v>12</v>
      </c>
      <c r="B36" s="69">
        <v>1170</v>
      </c>
      <c r="C36" s="70">
        <f>SUM(C31, C32:C35)</f>
        <v>10584.099999999999</v>
      </c>
      <c r="D36" s="70">
        <f>SUM(D31, D32:D35)</f>
        <v>24841.399999999961</v>
      </c>
      <c r="E36" s="46">
        <f>SUM(E31, E32:E35)</f>
        <v>0</v>
      </c>
      <c r="F36" s="70">
        <f>SUM(F31, F32:F35)</f>
        <v>24841.399999999961</v>
      </c>
      <c r="G36" s="70">
        <f t="shared" si="2"/>
        <v>24841.399999999961</v>
      </c>
      <c r="H36" s="72"/>
      <c r="K36" s="53"/>
    </row>
    <row r="37" spans="1:15" ht="24.75" customHeight="1">
      <c r="A37" s="73" t="s">
        <v>24</v>
      </c>
      <c r="B37" s="266">
        <v>1180</v>
      </c>
      <c r="C37" s="23"/>
      <c r="D37" s="23"/>
      <c r="E37" s="22" t="s">
        <v>261</v>
      </c>
      <c r="F37" s="23"/>
      <c r="G37" s="89" t="e">
        <f t="shared" si="2"/>
        <v>#VALUE!</v>
      </c>
      <c r="H37" s="72"/>
    </row>
    <row r="38" spans="1:15" ht="29.25" customHeight="1">
      <c r="A38" s="73" t="s">
        <v>25</v>
      </c>
      <c r="B38" s="266">
        <v>1181</v>
      </c>
      <c r="C38" s="23"/>
      <c r="D38" s="23"/>
      <c r="E38" s="22"/>
      <c r="F38" s="23"/>
      <c r="G38" s="70">
        <f t="shared" si="2"/>
        <v>0</v>
      </c>
      <c r="H38" s="72"/>
    </row>
    <row r="39" spans="1:15" ht="21.95" customHeight="1">
      <c r="A39" s="68" t="s">
        <v>40</v>
      </c>
      <c r="B39" s="266">
        <v>1200</v>
      </c>
      <c r="C39" s="70">
        <f>SUM(C36:C38)</f>
        <v>10584.099999999999</v>
      </c>
      <c r="D39" s="70">
        <f>SUM(D36:D38)</f>
        <v>24841.399999999961</v>
      </c>
      <c r="E39" s="46">
        <f>SUM(E36:E38)</f>
        <v>0</v>
      </c>
      <c r="F39" s="70">
        <f>SUM(F36:F38)</f>
        <v>24841.399999999961</v>
      </c>
      <c r="G39" s="70">
        <f t="shared" si="2"/>
        <v>24841.399999999961</v>
      </c>
      <c r="H39" s="75"/>
    </row>
    <row r="40" spans="1:15" ht="21.95" customHeight="1">
      <c r="A40" s="73" t="s">
        <v>41</v>
      </c>
      <c r="B40" s="266">
        <v>1201</v>
      </c>
      <c r="C40" s="23">
        <f>C42+C43</f>
        <v>10584.100000000035</v>
      </c>
      <c r="D40" s="23">
        <f>D42+D43</f>
        <v>24841.399999999965</v>
      </c>
      <c r="E40" s="22">
        <f t="shared" ref="E40" si="15">E42+E43</f>
        <v>0</v>
      </c>
      <c r="F40" s="23">
        <f>F42+F43</f>
        <v>24841.399999999965</v>
      </c>
      <c r="G40" s="23">
        <f t="shared" si="2"/>
        <v>24841.399999999965</v>
      </c>
      <c r="H40" s="72"/>
    </row>
    <row r="41" spans="1:15" ht="21.95" customHeight="1">
      <c r="A41" s="73" t="s">
        <v>42</v>
      </c>
      <c r="B41" s="266">
        <v>1202</v>
      </c>
      <c r="C41" s="23"/>
      <c r="D41" s="23"/>
      <c r="E41" s="22" t="s">
        <v>261</v>
      </c>
      <c r="F41" s="23"/>
      <c r="G41" s="89" t="e">
        <f t="shared" si="2"/>
        <v>#VALUE!</v>
      </c>
      <c r="H41" s="72"/>
    </row>
    <row r="42" spans="1:15" ht="21.95" customHeight="1">
      <c r="A42" s="68" t="s">
        <v>97</v>
      </c>
      <c r="B42" s="69">
        <v>1210</v>
      </c>
      <c r="C42" s="70">
        <f t="shared" ref="C42:D42" si="16">SUM(C8,C22,C32,C34,C38)</f>
        <v>270360.60000000003</v>
      </c>
      <c r="D42" s="70">
        <f t="shared" si="16"/>
        <v>320808.49999999994</v>
      </c>
      <c r="E42" s="46">
        <f>SUM(E8,E22,E32,E34,E38)</f>
        <v>282557.40000000002</v>
      </c>
      <c r="F42" s="70">
        <f t="shared" ref="F42" si="17">SUM(F8,F22,F32,F34,F38)</f>
        <v>320808.49999999994</v>
      </c>
      <c r="G42" s="70">
        <f t="shared" si="2"/>
        <v>38251.099999999919</v>
      </c>
      <c r="H42" s="74">
        <f t="shared" si="1"/>
        <v>113.53746176882996</v>
      </c>
    </row>
    <row r="43" spans="1:15" ht="21.95" customHeight="1">
      <c r="A43" s="68" t="s">
        <v>98</v>
      </c>
      <c r="B43" s="69">
        <v>1220</v>
      </c>
      <c r="C43" s="70">
        <f t="shared" ref="C43" si="18">SUM(C9,C16,C25,C33,C35,C37)</f>
        <v>-259776.5</v>
      </c>
      <c r="D43" s="70">
        <f t="shared" ref="D43" si="19">SUM(D9,D16,D25,D33,D35,D37)</f>
        <v>-295967.09999999998</v>
      </c>
      <c r="E43" s="46">
        <f>SUM(E9,E16,E25,E33,E35,E37)</f>
        <v>-282557.40000000002</v>
      </c>
      <c r="F43" s="46">
        <f>SUM(F9,F16,F25,F33,F35,F37)</f>
        <v>-295967.09999999998</v>
      </c>
      <c r="G43" s="70">
        <f t="shared" si="2"/>
        <v>-13409.699999999953</v>
      </c>
      <c r="H43" s="74">
        <f t="shared" si="1"/>
        <v>104.74583217427677</v>
      </c>
      <c r="I43" s="34"/>
      <c r="J43" s="34"/>
      <c r="K43" s="34"/>
      <c r="L43" s="34"/>
      <c r="M43" s="34"/>
      <c r="N43" s="34"/>
      <c r="O43" s="34"/>
    </row>
    <row r="44" spans="1:15" ht="21.95" customHeight="1">
      <c r="A44" s="316" t="s">
        <v>102</v>
      </c>
      <c r="B44" s="316"/>
      <c r="C44" s="316"/>
      <c r="D44" s="316"/>
      <c r="E44" s="316"/>
      <c r="F44" s="316"/>
      <c r="G44" s="316"/>
      <c r="H44" s="316"/>
      <c r="K44" s="55"/>
    </row>
    <row r="45" spans="1:15" ht="25.5" customHeight="1">
      <c r="A45" s="71" t="s">
        <v>50</v>
      </c>
      <c r="B45" s="267">
        <v>9000</v>
      </c>
      <c r="C45" s="23">
        <f>-C10-C17-C26</f>
        <v>81959.5</v>
      </c>
      <c r="D45" s="23">
        <f>-D10-D17</f>
        <v>93501.200000000012</v>
      </c>
      <c r="E45" s="23">
        <f>-E10-E17</f>
        <v>88887.4</v>
      </c>
      <c r="F45" s="23">
        <f>-F10-F17</f>
        <v>93501.200000000012</v>
      </c>
      <c r="G45" s="23">
        <f t="shared" ref="G45:G50" si="20">F45-E45</f>
        <v>4613.8000000000175</v>
      </c>
      <c r="H45" s="23">
        <f t="shared" ref="H45:H50" si="21">(F45/E45)*100</f>
        <v>105.19061194275005</v>
      </c>
      <c r="I45" s="35"/>
      <c r="J45" s="35"/>
      <c r="K45" s="35"/>
      <c r="L45" s="35"/>
      <c r="M45" s="35"/>
    </row>
    <row r="46" spans="1:15" ht="27" customHeight="1">
      <c r="A46" s="71" t="s">
        <v>1</v>
      </c>
      <c r="B46" s="267">
        <v>9010</v>
      </c>
      <c r="C46" s="23">
        <f>-C11-C18-C27</f>
        <v>124661.8</v>
      </c>
      <c r="D46" s="23">
        <f t="shared" ref="C46:F47" si="22">-D11-D18-D27</f>
        <v>141741</v>
      </c>
      <c r="E46" s="23">
        <f t="shared" si="22"/>
        <v>135944.1</v>
      </c>
      <c r="F46" s="23">
        <f t="shared" si="22"/>
        <v>141741</v>
      </c>
      <c r="G46" s="23">
        <f t="shared" si="20"/>
        <v>5796.8999999999942</v>
      </c>
      <c r="H46" s="23">
        <f t="shared" si="21"/>
        <v>104.26417917364563</v>
      </c>
      <c r="I46" s="35"/>
      <c r="J46" s="279"/>
      <c r="K46" s="279"/>
      <c r="L46" s="284"/>
      <c r="M46" s="35"/>
    </row>
    <row r="47" spans="1:15" ht="24" customHeight="1">
      <c r="A47" s="71" t="s">
        <v>2</v>
      </c>
      <c r="B47" s="267">
        <v>9020</v>
      </c>
      <c r="C47" s="23">
        <f t="shared" si="22"/>
        <v>26787.5</v>
      </c>
      <c r="D47" s="23">
        <f t="shared" si="22"/>
        <v>30337.7</v>
      </c>
      <c r="E47" s="23">
        <f t="shared" si="22"/>
        <v>29303.5</v>
      </c>
      <c r="F47" s="23">
        <f t="shared" si="22"/>
        <v>30337.7</v>
      </c>
      <c r="G47" s="23">
        <f t="shared" si="20"/>
        <v>1034.2000000000007</v>
      </c>
      <c r="H47" s="23">
        <f t="shared" si="21"/>
        <v>103.52927124746192</v>
      </c>
      <c r="I47" s="35"/>
      <c r="J47" s="35"/>
      <c r="K47" s="35"/>
      <c r="L47" s="35"/>
      <c r="M47" s="35"/>
    </row>
    <row r="48" spans="1:15" ht="24.75" customHeight="1">
      <c r="A48" s="71" t="s">
        <v>3</v>
      </c>
      <c r="B48" s="267">
        <v>9030</v>
      </c>
      <c r="C48" s="23">
        <f>-C13-C29</f>
        <v>22157.800000000003</v>
      </c>
      <c r="D48" s="23">
        <f>-D13-D29</f>
        <v>26497.8</v>
      </c>
      <c r="E48" s="23">
        <f>-E13-E29</f>
        <v>23400</v>
      </c>
      <c r="F48" s="23">
        <f>-F13-F29</f>
        <v>26497.8</v>
      </c>
      <c r="G48" s="23">
        <f t="shared" si="20"/>
        <v>3097.7999999999993</v>
      </c>
      <c r="H48" s="23">
        <f t="shared" si="21"/>
        <v>113.23846153846154</v>
      </c>
      <c r="I48" s="35"/>
      <c r="J48" s="35"/>
      <c r="K48" s="35"/>
      <c r="L48" s="35"/>
      <c r="M48" s="35"/>
    </row>
    <row r="49" spans="1:13" ht="24" customHeight="1">
      <c r="A49" s="71" t="s">
        <v>5</v>
      </c>
      <c r="B49" s="267">
        <v>9040</v>
      </c>
      <c r="C49" s="23">
        <f>-C30-C14-C21</f>
        <v>4209.8999999999996</v>
      </c>
      <c r="D49" s="23">
        <f>-D30-D14-D21</f>
        <v>3889.3999999999996</v>
      </c>
      <c r="E49" s="23">
        <f>-E30-E14-E21</f>
        <v>5022.3999999999996</v>
      </c>
      <c r="F49" s="23">
        <f>-F30-F14-F21</f>
        <v>3889.3999999999996</v>
      </c>
      <c r="G49" s="23">
        <f t="shared" si="20"/>
        <v>-1133</v>
      </c>
      <c r="H49" s="23">
        <f t="shared" si="21"/>
        <v>77.441064033131568</v>
      </c>
      <c r="I49" s="35"/>
      <c r="J49" s="35"/>
      <c r="K49" s="35"/>
      <c r="L49" s="35"/>
      <c r="M49" s="35"/>
    </row>
    <row r="50" spans="1:13" ht="21.95" customHeight="1">
      <c r="A50" s="76" t="s">
        <v>7</v>
      </c>
      <c r="B50" s="268">
        <v>9050</v>
      </c>
      <c r="C50" s="70">
        <f>SUM(C45:C49)</f>
        <v>259776.49999999997</v>
      </c>
      <c r="D50" s="70">
        <f t="shared" ref="D50:F50" si="23">SUM(D45:D49)</f>
        <v>295967.10000000003</v>
      </c>
      <c r="E50" s="70">
        <f t="shared" ref="E50" si="24">SUM(E45:E49)</f>
        <v>282557.40000000002</v>
      </c>
      <c r="F50" s="70">
        <f t="shared" si="23"/>
        <v>295967.10000000003</v>
      </c>
      <c r="G50" s="70">
        <f t="shared" si="20"/>
        <v>13409.700000000012</v>
      </c>
      <c r="H50" s="70">
        <f t="shared" si="21"/>
        <v>104.7458321742768</v>
      </c>
      <c r="I50" s="35"/>
      <c r="J50" s="35"/>
      <c r="K50" s="35"/>
      <c r="L50" s="35"/>
      <c r="M50" s="35"/>
    </row>
    <row r="51" spans="1:13" ht="21.95" customHeight="1">
      <c r="A51" s="309" t="s">
        <v>81</v>
      </c>
      <c r="B51" s="309"/>
      <c r="C51" s="309"/>
      <c r="D51" s="309"/>
      <c r="E51" s="309"/>
      <c r="F51" s="309"/>
      <c r="G51" s="309"/>
      <c r="H51" s="309"/>
      <c r="K51" s="35"/>
    </row>
    <row r="52" spans="1:13" ht="63" customHeight="1">
      <c r="A52" s="77" t="s">
        <v>206</v>
      </c>
      <c r="B52" s="69">
        <v>2110</v>
      </c>
      <c r="C52" s="70">
        <f t="shared" ref="C52" si="25">SUM(C53:C56)</f>
        <v>-1917.4</v>
      </c>
      <c r="D52" s="70">
        <f t="shared" ref="D52:F52" si="26">SUM(D53:D56)</f>
        <v>-2217.9</v>
      </c>
      <c r="E52" s="70">
        <f t="shared" ref="E52" si="27">SUM(E53:E56)</f>
        <v>-2114.1999999999998</v>
      </c>
      <c r="F52" s="70">
        <f t="shared" si="26"/>
        <v>-2217.9</v>
      </c>
      <c r="G52" s="70">
        <f>F52-E52</f>
        <v>-103.70000000000027</v>
      </c>
      <c r="H52" s="70">
        <f>(F52/E52)*100</f>
        <v>104.9049285781856</v>
      </c>
      <c r="I52" s="35"/>
      <c r="J52" s="35"/>
    </row>
    <row r="53" spans="1:13" ht="42" customHeight="1">
      <c r="A53" s="71" t="s">
        <v>47</v>
      </c>
      <c r="B53" s="266">
        <v>2111</v>
      </c>
      <c r="C53" s="22">
        <v>-47.5</v>
      </c>
      <c r="D53" s="22">
        <v>-76</v>
      </c>
      <c r="E53" s="22">
        <v>-75</v>
      </c>
      <c r="F53" s="22">
        <v>-76</v>
      </c>
      <c r="G53" s="23">
        <f t="shared" ref="G53:G68" si="28">F53-E53</f>
        <v>-1</v>
      </c>
      <c r="H53" s="23">
        <f>(F53/E53)*100</f>
        <v>101.33333333333334</v>
      </c>
    </row>
    <row r="54" spans="1:13" ht="40.5" customHeight="1">
      <c r="A54" s="78" t="s">
        <v>48</v>
      </c>
      <c r="B54" s="266">
        <v>2112</v>
      </c>
      <c r="C54" s="23"/>
      <c r="D54" s="23"/>
      <c r="E54" s="23"/>
      <c r="F54" s="23"/>
      <c r="G54" s="23">
        <f t="shared" si="28"/>
        <v>0</v>
      </c>
      <c r="H54" s="72"/>
    </row>
    <row r="55" spans="1:13" ht="24.75" customHeight="1">
      <c r="A55" s="71" t="s">
        <v>55</v>
      </c>
      <c r="B55" s="266">
        <v>2113</v>
      </c>
      <c r="C55" s="22">
        <v>-1869.9</v>
      </c>
      <c r="D55" s="22">
        <v>-2141.9</v>
      </c>
      <c r="E55" s="22">
        <v>-2039.2</v>
      </c>
      <c r="F55" s="22">
        <v>-2141.9</v>
      </c>
      <c r="G55" s="23">
        <f t="shared" si="28"/>
        <v>-102.70000000000005</v>
      </c>
      <c r="H55" s="23">
        <f t="shared" ref="H55:H68" si="29">(F55/E55)*100</f>
        <v>105.03628874068262</v>
      </c>
    </row>
    <row r="56" spans="1:13" ht="24.75" customHeight="1">
      <c r="A56" s="71" t="s">
        <v>35</v>
      </c>
      <c r="B56" s="266">
        <v>2114</v>
      </c>
      <c r="C56" s="23"/>
      <c r="D56" s="23"/>
      <c r="E56" s="23"/>
      <c r="F56" s="23"/>
      <c r="G56" s="70">
        <f t="shared" si="28"/>
        <v>0</v>
      </c>
      <c r="H56" s="72"/>
    </row>
    <row r="57" spans="1:13" ht="41.25" customHeight="1">
      <c r="A57" s="79" t="s">
        <v>52</v>
      </c>
      <c r="B57" s="268">
        <v>2120</v>
      </c>
      <c r="C57" s="70">
        <f>SUM(C58:C63)</f>
        <v>-22439.1</v>
      </c>
      <c r="D57" s="70">
        <f>SUM(D58:D63)</f>
        <v>-25513.7</v>
      </c>
      <c r="E57" s="70">
        <f>SUM(E58:E63)</f>
        <v>-24469.9</v>
      </c>
      <c r="F57" s="70">
        <f>SUM(F58:F63)</f>
        <v>-25513.7</v>
      </c>
      <c r="G57" s="70">
        <f t="shared" si="28"/>
        <v>-1043.7999999999993</v>
      </c>
      <c r="H57" s="70">
        <f t="shared" si="29"/>
        <v>104.26564881752685</v>
      </c>
    </row>
    <row r="58" spans="1:13" ht="27" customHeight="1">
      <c r="A58" s="78" t="s">
        <v>34</v>
      </c>
      <c r="B58" s="267">
        <v>2121</v>
      </c>
      <c r="C58" s="23"/>
      <c r="D58" s="23"/>
      <c r="E58" s="23"/>
      <c r="F58" s="23"/>
      <c r="G58" s="70">
        <f t="shared" si="28"/>
        <v>0</v>
      </c>
      <c r="H58" s="72"/>
    </row>
    <row r="59" spans="1:13" ht="27" customHeight="1">
      <c r="A59" s="71" t="s">
        <v>11</v>
      </c>
      <c r="B59" s="267">
        <v>2122</v>
      </c>
      <c r="C59" s="22">
        <v>-22439.1</v>
      </c>
      <c r="D59" s="22">
        <v>-25513.4</v>
      </c>
      <c r="E59" s="22">
        <v>-24469.9</v>
      </c>
      <c r="F59" s="22">
        <v>-25513.4</v>
      </c>
      <c r="G59" s="23">
        <f t="shared" si="28"/>
        <v>-1043.5</v>
      </c>
      <c r="H59" s="23">
        <f t="shared" si="29"/>
        <v>104.26442282150722</v>
      </c>
    </row>
    <row r="60" spans="1:13" ht="21.95" customHeight="1">
      <c r="A60" s="71" t="s">
        <v>38</v>
      </c>
      <c r="B60" s="267">
        <v>2123</v>
      </c>
      <c r="C60" s="23"/>
      <c r="D60" s="22">
        <v>-0.3</v>
      </c>
      <c r="E60" s="22"/>
      <c r="F60" s="22">
        <v>-0.3</v>
      </c>
      <c r="G60" s="70">
        <f t="shared" si="28"/>
        <v>-0.3</v>
      </c>
      <c r="H60" s="72"/>
    </row>
    <row r="61" spans="1:13" ht="25.5" customHeight="1">
      <c r="A61" s="71" t="s">
        <v>39</v>
      </c>
      <c r="B61" s="267">
        <v>2124</v>
      </c>
      <c r="C61" s="23"/>
      <c r="D61" s="23"/>
      <c r="E61" s="23"/>
      <c r="F61" s="23"/>
      <c r="G61" s="70">
        <f t="shared" si="28"/>
        <v>0</v>
      </c>
      <c r="H61" s="72"/>
    </row>
    <row r="62" spans="1:13" ht="80.25" customHeight="1">
      <c r="A62" s="71" t="s">
        <v>99</v>
      </c>
      <c r="B62" s="267">
        <v>2125</v>
      </c>
      <c r="C62" s="23"/>
      <c r="D62" s="23"/>
      <c r="E62" s="23"/>
      <c r="F62" s="23"/>
      <c r="G62" s="70">
        <f t="shared" si="28"/>
        <v>0</v>
      </c>
      <c r="H62" s="72"/>
    </row>
    <row r="63" spans="1:13" ht="22.5" customHeight="1">
      <c r="A63" s="71" t="s">
        <v>35</v>
      </c>
      <c r="B63" s="267">
        <v>2126</v>
      </c>
      <c r="C63" s="23"/>
      <c r="D63" s="23"/>
      <c r="E63" s="23"/>
      <c r="F63" s="23"/>
      <c r="G63" s="70">
        <f t="shared" si="28"/>
        <v>0</v>
      </c>
      <c r="H63" s="72"/>
    </row>
    <row r="64" spans="1:13" ht="44.25" customHeight="1">
      <c r="A64" s="77" t="s">
        <v>53</v>
      </c>
      <c r="B64" s="268">
        <v>2130</v>
      </c>
      <c r="C64" s="70">
        <f t="shared" ref="C64" si="30">SUM(C65:C67)</f>
        <v>-27937.4</v>
      </c>
      <c r="D64" s="70">
        <f t="shared" ref="D64:F64" si="31">SUM(D65:D67)</f>
        <v>-31648.3</v>
      </c>
      <c r="E64" s="70">
        <f t="shared" ref="E64" si="32">SUM(E65:E67)</f>
        <v>-30440.799999999999</v>
      </c>
      <c r="F64" s="70">
        <f t="shared" si="31"/>
        <v>-31648.3</v>
      </c>
      <c r="G64" s="70">
        <f t="shared" si="28"/>
        <v>-1207.5</v>
      </c>
      <c r="H64" s="70">
        <f t="shared" si="29"/>
        <v>103.96671572363407</v>
      </c>
    </row>
    <row r="65" spans="1:8" ht="24" customHeight="1">
      <c r="A65" s="71" t="s">
        <v>36</v>
      </c>
      <c r="B65" s="267">
        <v>2131</v>
      </c>
      <c r="C65" s="23"/>
      <c r="D65" s="23"/>
      <c r="E65" s="23"/>
      <c r="F65" s="23"/>
      <c r="G65" s="70">
        <f t="shared" si="28"/>
        <v>0</v>
      </c>
      <c r="H65" s="72"/>
    </row>
    <row r="66" spans="1:8" ht="41.25" customHeight="1">
      <c r="A66" s="71" t="s">
        <v>37</v>
      </c>
      <c r="B66" s="267">
        <v>2132</v>
      </c>
      <c r="C66" s="22">
        <v>-26787.5</v>
      </c>
      <c r="D66" s="22">
        <v>-30337.7</v>
      </c>
      <c r="E66" s="22">
        <v>-29303.5</v>
      </c>
      <c r="F66" s="22">
        <v>-30337.7</v>
      </c>
      <c r="G66" s="23">
        <f t="shared" si="28"/>
        <v>-1034.2000000000007</v>
      </c>
      <c r="H66" s="23">
        <f t="shared" si="29"/>
        <v>103.52927124746192</v>
      </c>
    </row>
    <row r="67" spans="1:8" ht="39" customHeight="1">
      <c r="A67" s="71" t="s">
        <v>202</v>
      </c>
      <c r="B67" s="267">
        <v>2133</v>
      </c>
      <c r="C67" s="22">
        <v>-1149.9000000000001</v>
      </c>
      <c r="D67" s="22">
        <v>-1310.5999999999999</v>
      </c>
      <c r="E67" s="22">
        <v>-1137.3</v>
      </c>
      <c r="F67" s="22">
        <v>-1310.5999999999999</v>
      </c>
      <c r="G67" s="23">
        <f t="shared" si="28"/>
        <v>-173.29999999999995</v>
      </c>
      <c r="H67" s="23">
        <f t="shared" si="29"/>
        <v>115.23784401653036</v>
      </c>
    </row>
    <row r="68" spans="1:8" ht="27" customHeight="1">
      <c r="A68" s="79" t="s">
        <v>49</v>
      </c>
      <c r="B68" s="268">
        <v>2200</v>
      </c>
      <c r="C68" s="70">
        <f>SUM(C52+C57+C64)</f>
        <v>-52293.9</v>
      </c>
      <c r="D68" s="70">
        <f>SUM(D52+D57+D64)</f>
        <v>-59379.9</v>
      </c>
      <c r="E68" s="70">
        <f>SUM(E52+E57+E64)</f>
        <v>-57024.9</v>
      </c>
      <c r="F68" s="70">
        <f>SUM(F52+F57+F64)</f>
        <v>-59379.9</v>
      </c>
      <c r="G68" s="70">
        <f t="shared" si="28"/>
        <v>-2355</v>
      </c>
      <c r="H68" s="70">
        <f t="shared" si="29"/>
        <v>104.12977488781216</v>
      </c>
    </row>
    <row r="69" spans="1:8" ht="24" customHeight="1">
      <c r="A69" s="310" t="s">
        <v>82</v>
      </c>
      <c r="B69" s="311"/>
      <c r="C69" s="311"/>
      <c r="D69" s="311"/>
      <c r="E69" s="311"/>
      <c r="F69" s="311"/>
      <c r="G69" s="311"/>
      <c r="H69" s="312"/>
    </row>
    <row r="70" spans="1:8" ht="27.75" customHeight="1">
      <c r="A70" s="68" t="s">
        <v>16</v>
      </c>
      <c r="B70" s="69">
        <v>4000</v>
      </c>
      <c r="C70" s="70">
        <f>SUM(C71:C77)</f>
        <v>-16604.3</v>
      </c>
      <c r="D70" s="70">
        <f>SUM(D71:D77)</f>
        <v>10892.1</v>
      </c>
      <c r="E70" s="70">
        <f>SUM(E71:E77)</f>
        <v>1700</v>
      </c>
      <c r="F70" s="70">
        <f>SUM(F71:F77)</f>
        <v>10892.1</v>
      </c>
      <c r="G70" s="70">
        <f>F70-E70</f>
        <v>9192.1</v>
      </c>
      <c r="H70" s="89">
        <f>(F70/E70)*100</f>
        <v>640.71176470588239</v>
      </c>
    </row>
    <row r="71" spans="1:8" ht="30.75" customHeight="1">
      <c r="A71" s="71" t="s">
        <v>56</v>
      </c>
      <c r="B71" s="266">
        <v>4010</v>
      </c>
      <c r="C71" s="23"/>
      <c r="D71" s="23"/>
      <c r="E71" s="23"/>
      <c r="F71" s="23"/>
      <c r="G71" s="70">
        <f t="shared" ref="G71:G77" si="33">F71-E71</f>
        <v>0</v>
      </c>
      <c r="H71" s="23"/>
    </row>
    <row r="72" spans="1:8" ht="42.75" customHeight="1">
      <c r="A72" s="71" t="s">
        <v>221</v>
      </c>
      <c r="B72" s="266">
        <v>4020</v>
      </c>
      <c r="C72" s="23">
        <v>-12459.1</v>
      </c>
      <c r="D72" s="23">
        <v>8249.2000000000007</v>
      </c>
      <c r="E72" s="23"/>
      <c r="F72" s="23">
        <v>8249.2000000000007</v>
      </c>
      <c r="G72" s="88">
        <f t="shared" si="33"/>
        <v>8249.2000000000007</v>
      </c>
      <c r="H72" s="88" t="e">
        <f t="shared" ref="H72" si="34">(F72/E72)*100</f>
        <v>#DIV/0!</v>
      </c>
    </row>
    <row r="73" spans="1:8" ht="57.75" customHeight="1">
      <c r="A73" s="71" t="s">
        <v>64</v>
      </c>
      <c r="B73" s="266">
        <v>4030</v>
      </c>
      <c r="C73" s="23"/>
      <c r="D73" s="23"/>
      <c r="E73" s="23"/>
      <c r="F73" s="23"/>
      <c r="G73" s="70">
        <f t="shared" si="33"/>
        <v>0</v>
      </c>
      <c r="H73" s="72"/>
    </row>
    <row r="74" spans="1:8" ht="42" customHeight="1">
      <c r="A74" s="71" t="s">
        <v>222</v>
      </c>
      <c r="B74" s="266">
        <v>4040</v>
      </c>
      <c r="C74" s="23"/>
      <c r="D74" s="23"/>
      <c r="E74" s="23"/>
      <c r="F74" s="23"/>
      <c r="G74" s="70">
        <f t="shared" si="33"/>
        <v>0</v>
      </c>
      <c r="H74" s="72"/>
    </row>
    <row r="75" spans="1:8" ht="61.5" customHeight="1">
      <c r="A75" s="71" t="s">
        <v>57</v>
      </c>
      <c r="B75" s="266">
        <v>4050</v>
      </c>
      <c r="C75" s="238">
        <v>-1204.3</v>
      </c>
      <c r="D75" s="238">
        <v>597.9</v>
      </c>
      <c r="E75" s="23"/>
      <c r="F75" s="238">
        <v>597.9</v>
      </c>
      <c r="G75" s="70">
        <f t="shared" si="33"/>
        <v>597.9</v>
      </c>
      <c r="H75" s="72"/>
    </row>
    <row r="76" spans="1:8" ht="27.75" customHeight="1">
      <c r="A76" s="71" t="s">
        <v>58</v>
      </c>
      <c r="B76" s="266">
        <v>4060</v>
      </c>
      <c r="C76" s="23">
        <v>-2940.9</v>
      </c>
      <c r="D76" s="23">
        <v>2045</v>
      </c>
      <c r="E76" s="23">
        <v>1700</v>
      </c>
      <c r="F76" s="23">
        <v>2045</v>
      </c>
      <c r="G76" s="23" t="s">
        <v>238</v>
      </c>
      <c r="H76" s="72"/>
    </row>
    <row r="77" spans="1:8" ht="24.75" customHeight="1">
      <c r="A77" s="71" t="s">
        <v>44</v>
      </c>
      <c r="B77" s="266">
        <v>4070</v>
      </c>
      <c r="C77" s="23"/>
      <c r="D77" s="23"/>
      <c r="E77" s="23"/>
      <c r="F77" s="23"/>
      <c r="G77" s="70">
        <f t="shared" si="33"/>
        <v>0</v>
      </c>
      <c r="H77" s="72"/>
    </row>
    <row r="78" spans="1:8" ht="21.95" customHeight="1">
      <c r="A78" s="293" t="s">
        <v>83</v>
      </c>
      <c r="B78" s="294"/>
      <c r="C78" s="294"/>
      <c r="D78" s="294"/>
      <c r="E78" s="294"/>
      <c r="F78" s="294"/>
      <c r="G78" s="294"/>
      <c r="H78" s="295"/>
    </row>
    <row r="79" spans="1:8" ht="58.5" customHeight="1">
      <c r="A79" s="302" t="s">
        <v>20</v>
      </c>
      <c r="B79" s="298" t="s">
        <v>4</v>
      </c>
      <c r="C79" s="296" t="s">
        <v>101</v>
      </c>
      <c r="D79" s="297"/>
      <c r="E79" s="298" t="s">
        <v>355</v>
      </c>
      <c r="F79" s="298" t="s">
        <v>356</v>
      </c>
      <c r="G79" s="298" t="s">
        <v>92</v>
      </c>
      <c r="H79" s="300" t="s">
        <v>92</v>
      </c>
    </row>
    <row r="80" spans="1:8" ht="45" customHeight="1">
      <c r="A80" s="303"/>
      <c r="B80" s="299"/>
      <c r="C80" s="267" t="s">
        <v>353</v>
      </c>
      <c r="D80" s="276" t="s">
        <v>354</v>
      </c>
      <c r="E80" s="299"/>
      <c r="F80" s="299"/>
      <c r="G80" s="299"/>
      <c r="H80" s="301"/>
    </row>
    <row r="81" spans="1:10" s="60" customFormat="1" ht="83.25" customHeight="1">
      <c r="A81" s="79" t="s">
        <v>223</v>
      </c>
      <c r="B81" s="80" t="s">
        <v>26</v>
      </c>
      <c r="C81" s="47">
        <f t="shared" ref="C81" si="35">SUM(C82:C84)</f>
        <v>743</v>
      </c>
      <c r="D81" s="47">
        <f t="shared" ref="D81:E81" si="36">SUM(D82:D84)</f>
        <v>716</v>
      </c>
      <c r="E81" s="81">
        <f t="shared" si="36"/>
        <v>745</v>
      </c>
      <c r="F81" s="47">
        <f t="shared" ref="F81" si="37">SUM(F82:F84)</f>
        <v>716</v>
      </c>
      <c r="G81" s="81">
        <f>F81-E81</f>
        <v>-29</v>
      </c>
      <c r="H81" s="70">
        <f>F81/E81*100</f>
        <v>96.107382550335572</v>
      </c>
      <c r="I81" s="52"/>
      <c r="J81" s="52"/>
    </row>
    <row r="82" spans="1:10" ht="21.95" customHeight="1">
      <c r="A82" s="73" t="s">
        <v>18</v>
      </c>
      <c r="B82" s="266" t="s">
        <v>27</v>
      </c>
      <c r="C82" s="22">
        <v>1</v>
      </c>
      <c r="D82" s="22">
        <v>1</v>
      </c>
      <c r="E82" s="22">
        <v>1</v>
      </c>
      <c r="F82" s="22">
        <v>1</v>
      </c>
      <c r="G82" s="23">
        <f t="shared" ref="G82:G96" si="38">F82-E82</f>
        <v>0</v>
      </c>
      <c r="H82" s="23">
        <f t="shared" ref="H82:H96" si="39">F82/E82*100</f>
        <v>100</v>
      </c>
    </row>
    <row r="83" spans="1:10" ht="21.95" customHeight="1">
      <c r="A83" s="73" t="s">
        <v>21</v>
      </c>
      <c r="B83" s="266" t="s">
        <v>28</v>
      </c>
      <c r="C83" s="22">
        <v>25</v>
      </c>
      <c r="D83" s="22">
        <v>27</v>
      </c>
      <c r="E83" s="22">
        <v>26</v>
      </c>
      <c r="F83" s="22">
        <v>27</v>
      </c>
      <c r="G83" s="23">
        <f t="shared" si="38"/>
        <v>1</v>
      </c>
      <c r="H83" s="23">
        <f t="shared" si="39"/>
        <v>103.84615384615385</v>
      </c>
    </row>
    <row r="84" spans="1:10" ht="21.95" customHeight="1">
      <c r="A84" s="73" t="s">
        <v>19</v>
      </c>
      <c r="B84" s="266" t="s">
        <v>29</v>
      </c>
      <c r="C84" s="22">
        <v>717</v>
      </c>
      <c r="D84" s="22">
        <v>688</v>
      </c>
      <c r="E84" s="22">
        <v>718</v>
      </c>
      <c r="F84" s="22">
        <v>688</v>
      </c>
      <c r="G84" s="23">
        <f t="shared" si="38"/>
        <v>-30</v>
      </c>
      <c r="H84" s="23">
        <f t="shared" si="39"/>
        <v>95.82172701949861</v>
      </c>
    </row>
    <row r="85" spans="1:10" ht="21.95" customHeight="1">
      <c r="A85" s="68" t="s">
        <v>65</v>
      </c>
      <c r="B85" s="69" t="s">
        <v>30</v>
      </c>
      <c r="C85" s="70">
        <f>SUM(C86:C88)</f>
        <v>124661.8</v>
      </c>
      <c r="D85" s="169">
        <f>SUM(D86:D88)</f>
        <v>141740.9</v>
      </c>
      <c r="E85" s="169">
        <f t="shared" ref="E85" si="40">SUM(E86:E88)</f>
        <v>136471.79999999999</v>
      </c>
      <c r="F85" s="169">
        <f>SUM(F86:F88)</f>
        <v>141740.9</v>
      </c>
      <c r="G85" s="169">
        <f t="shared" si="38"/>
        <v>5269.1000000000058</v>
      </c>
      <c r="H85" s="169">
        <f t="shared" si="39"/>
        <v>103.8609441657544</v>
      </c>
    </row>
    <row r="86" spans="1:10" ht="21.95" customHeight="1">
      <c r="A86" s="73" t="s">
        <v>18</v>
      </c>
      <c r="B86" s="266">
        <v>8011</v>
      </c>
      <c r="C86" s="23">
        <v>510</v>
      </c>
      <c r="D86" s="170">
        <v>778.8</v>
      </c>
      <c r="E86" s="170">
        <v>783.3</v>
      </c>
      <c r="F86" s="170">
        <v>778.8</v>
      </c>
      <c r="G86" s="170">
        <f t="shared" si="38"/>
        <v>-4.5</v>
      </c>
      <c r="H86" s="170">
        <f t="shared" si="39"/>
        <v>99.425507468402913</v>
      </c>
      <c r="I86" s="55"/>
      <c r="J86" s="55"/>
    </row>
    <row r="87" spans="1:10" ht="21.95" customHeight="1">
      <c r="A87" s="73" t="s">
        <v>21</v>
      </c>
      <c r="B87" s="266">
        <v>8012</v>
      </c>
      <c r="C87" s="22">
        <v>8237.1</v>
      </c>
      <c r="D87" s="170">
        <v>10427.4</v>
      </c>
      <c r="E87" s="170">
        <v>9604.2000000000007</v>
      </c>
      <c r="F87" s="170">
        <v>10427.4</v>
      </c>
      <c r="G87" s="170">
        <f t="shared" si="38"/>
        <v>823.19999999999891</v>
      </c>
      <c r="H87" s="170">
        <f t="shared" si="39"/>
        <v>108.57125007809083</v>
      </c>
    </row>
    <row r="88" spans="1:10" ht="21.95" customHeight="1">
      <c r="A88" s="73" t="s">
        <v>19</v>
      </c>
      <c r="B88" s="266">
        <v>8013</v>
      </c>
      <c r="C88" s="22">
        <v>115914.7</v>
      </c>
      <c r="D88" s="170">
        <v>130534.7</v>
      </c>
      <c r="E88" s="170">
        <v>126084.3</v>
      </c>
      <c r="F88" s="170">
        <v>130534.7</v>
      </c>
      <c r="G88" s="170">
        <f t="shared" si="38"/>
        <v>4450.3999999999942</v>
      </c>
      <c r="H88" s="170">
        <f t="shared" si="39"/>
        <v>103.52970195337564</v>
      </c>
    </row>
    <row r="89" spans="1:10" ht="21.95" customHeight="1">
      <c r="A89" s="68" t="s">
        <v>1</v>
      </c>
      <c r="B89" s="69">
        <v>8020</v>
      </c>
      <c r="C89" s="46">
        <f t="shared" ref="C89" si="41">SUM(C90:C92)</f>
        <v>124661.8</v>
      </c>
      <c r="D89" s="169">
        <f t="shared" ref="D89:F89" si="42">SUM(D90:D92)</f>
        <v>141740.9</v>
      </c>
      <c r="E89" s="169">
        <f t="shared" ref="E89" si="43">SUM(E90:E92)</f>
        <v>136471.79999999999</v>
      </c>
      <c r="F89" s="169">
        <f t="shared" si="42"/>
        <v>141740.9</v>
      </c>
      <c r="G89" s="169">
        <f t="shared" si="38"/>
        <v>5269.1000000000058</v>
      </c>
      <c r="H89" s="169">
        <f t="shared" si="39"/>
        <v>103.8609441657544</v>
      </c>
    </row>
    <row r="90" spans="1:10" ht="21.95" customHeight="1">
      <c r="A90" s="73" t="s">
        <v>18</v>
      </c>
      <c r="B90" s="266">
        <v>8021</v>
      </c>
      <c r="C90" s="23">
        <v>510</v>
      </c>
      <c r="D90" s="170">
        <v>778.8</v>
      </c>
      <c r="E90" s="170">
        <v>783.3</v>
      </c>
      <c r="F90" s="170">
        <v>778.8</v>
      </c>
      <c r="G90" s="170">
        <f t="shared" si="38"/>
        <v>-4.5</v>
      </c>
      <c r="H90" s="170">
        <f t="shared" si="39"/>
        <v>99.425507468402913</v>
      </c>
    </row>
    <row r="91" spans="1:10" ht="21.95" customHeight="1">
      <c r="A91" s="73" t="s">
        <v>21</v>
      </c>
      <c r="B91" s="266">
        <v>8022</v>
      </c>
      <c r="C91" s="22">
        <v>8237.1</v>
      </c>
      <c r="D91" s="170">
        <v>10427.4</v>
      </c>
      <c r="E91" s="170">
        <v>9604.2000000000007</v>
      </c>
      <c r="F91" s="170">
        <v>10427.4</v>
      </c>
      <c r="G91" s="170">
        <f t="shared" si="38"/>
        <v>823.19999999999891</v>
      </c>
      <c r="H91" s="170">
        <f t="shared" si="39"/>
        <v>108.57125007809083</v>
      </c>
    </row>
    <row r="92" spans="1:10" ht="21.95" customHeight="1">
      <c r="A92" s="73" t="s">
        <v>19</v>
      </c>
      <c r="B92" s="266">
        <v>8023</v>
      </c>
      <c r="C92" s="22">
        <v>115914.7</v>
      </c>
      <c r="D92" s="170">
        <v>130534.7</v>
      </c>
      <c r="E92" s="170">
        <v>126084.3</v>
      </c>
      <c r="F92" s="170">
        <v>130534.7</v>
      </c>
      <c r="G92" s="170">
        <f t="shared" si="38"/>
        <v>4450.3999999999942</v>
      </c>
      <c r="H92" s="170">
        <f t="shared" si="39"/>
        <v>103.52970195337564</v>
      </c>
    </row>
    <row r="93" spans="1:10" s="60" customFormat="1" ht="39.75" customHeight="1">
      <c r="A93" s="79" t="s">
        <v>43</v>
      </c>
      <c r="B93" s="80" t="s">
        <v>66</v>
      </c>
      <c r="C93" s="198">
        <f>(C89/C81)/9*1000</f>
        <v>18642.410647525048</v>
      </c>
      <c r="D93" s="169">
        <f t="shared" ref="D93:E93" si="44">(D89/D81)/6*1000</f>
        <v>32993.691806331466</v>
      </c>
      <c r="E93" s="212">
        <f t="shared" si="44"/>
        <v>30530.604026845638</v>
      </c>
      <c r="F93" s="169">
        <f t="shared" ref="F93" si="45">(F89/F81)/6*1000</f>
        <v>32993.691806331466</v>
      </c>
      <c r="G93" s="169">
        <f t="shared" si="38"/>
        <v>2463.0877794858279</v>
      </c>
      <c r="H93" s="169">
        <f t="shared" si="39"/>
        <v>108.06760251883661</v>
      </c>
    </row>
    <row r="94" spans="1:10" ht="21.95" customHeight="1">
      <c r="A94" s="73" t="s">
        <v>18</v>
      </c>
      <c r="B94" s="266">
        <v>8031</v>
      </c>
      <c r="C94" s="199">
        <f>(C90/C82)/9*1000</f>
        <v>56666.666666666664</v>
      </c>
      <c r="D94" s="170">
        <f t="shared" ref="D94:F96" si="46">(D90/D82)/9*1000</f>
        <v>86533.333333333328</v>
      </c>
      <c r="E94" s="213">
        <f t="shared" si="46"/>
        <v>87033.333333333328</v>
      </c>
      <c r="F94" s="170">
        <f t="shared" si="46"/>
        <v>86533.333333333328</v>
      </c>
      <c r="G94" s="170">
        <f t="shared" si="38"/>
        <v>-500</v>
      </c>
      <c r="H94" s="170">
        <f t="shared" si="39"/>
        <v>99.425507468402913</v>
      </c>
    </row>
    <row r="95" spans="1:10" ht="21.95" customHeight="1">
      <c r="A95" s="73" t="s">
        <v>21</v>
      </c>
      <c r="B95" s="266">
        <v>8032</v>
      </c>
      <c r="C95" s="199">
        <f>(C91/C83)/9*1000</f>
        <v>36609.333333333336</v>
      </c>
      <c r="D95" s="170">
        <f t="shared" si="46"/>
        <v>42911.111111111109</v>
      </c>
      <c r="E95" s="213">
        <f t="shared" si="46"/>
        <v>41043.58974358975</v>
      </c>
      <c r="F95" s="170">
        <f t="shared" si="46"/>
        <v>42911.111111111109</v>
      </c>
      <c r="G95" s="170">
        <f>F95-E95</f>
        <v>1867.5213675213599</v>
      </c>
      <c r="H95" s="170">
        <f t="shared" si="39"/>
        <v>104.55009266779116</v>
      </c>
    </row>
    <row r="96" spans="1:10" ht="21.95" customHeight="1">
      <c r="A96" s="73" t="s">
        <v>19</v>
      </c>
      <c r="B96" s="266">
        <v>8033</v>
      </c>
      <c r="C96" s="199">
        <f>(C92/C84)/9*1000</f>
        <v>17962.916472958314</v>
      </c>
      <c r="D96" s="170">
        <f t="shared" si="46"/>
        <v>21081.185400516795</v>
      </c>
      <c r="E96" s="213">
        <f t="shared" si="46"/>
        <v>19511.652739090063</v>
      </c>
      <c r="F96" s="170">
        <f t="shared" si="46"/>
        <v>21081.185400516795</v>
      </c>
      <c r="G96" s="170">
        <f t="shared" si="38"/>
        <v>1569.5326614267324</v>
      </c>
      <c r="H96" s="170">
        <f t="shared" si="39"/>
        <v>108.04407849204027</v>
      </c>
    </row>
    <row r="97" spans="1:8" s="60" customFormat="1" ht="126" customHeight="1">
      <c r="A97" s="82" t="s">
        <v>212</v>
      </c>
      <c r="B97" s="83"/>
      <c r="C97" s="177"/>
      <c r="D97" s="304"/>
      <c r="E97" s="304"/>
      <c r="F97" s="84"/>
      <c r="G97" s="292" t="s">
        <v>240</v>
      </c>
      <c r="H97" s="292"/>
    </row>
    <row r="98" spans="1:8" s="60" customFormat="1" ht="29.25" customHeight="1">
      <c r="A98" s="265" t="s">
        <v>8</v>
      </c>
      <c r="B98" s="85"/>
      <c r="D98" s="305" t="s">
        <v>9</v>
      </c>
      <c r="E98" s="305"/>
      <c r="F98" s="86"/>
      <c r="G98" s="291" t="s">
        <v>13</v>
      </c>
      <c r="H98" s="291"/>
    </row>
    <row r="99" spans="1:8" s="60" customFormat="1">
      <c r="A99" s="4"/>
      <c r="E99" s="1"/>
      <c r="F99" s="1"/>
      <c r="G99" s="1"/>
      <c r="H99" s="1"/>
    </row>
    <row r="100" spans="1:8" s="60" customFormat="1">
      <c r="A100" s="4"/>
      <c r="E100" s="1"/>
      <c r="F100" s="1"/>
      <c r="G100" s="1"/>
      <c r="H100" s="1"/>
    </row>
    <row r="101" spans="1:8" s="60" customFormat="1">
      <c r="A101" s="4"/>
      <c r="E101" s="1"/>
      <c r="F101" s="1"/>
      <c r="G101" s="1"/>
      <c r="H101" s="1"/>
    </row>
    <row r="102" spans="1:8" s="60" customFormat="1">
      <c r="A102" s="4"/>
      <c r="E102" s="1"/>
      <c r="F102" s="1"/>
      <c r="G102" s="1"/>
      <c r="H102" s="1"/>
    </row>
    <row r="103" spans="1:8" s="60" customFormat="1">
      <c r="A103" s="4"/>
      <c r="E103" s="1"/>
      <c r="F103" s="1"/>
      <c r="G103" s="1"/>
      <c r="H103" s="1"/>
    </row>
    <row r="104" spans="1:8" s="60" customFormat="1">
      <c r="A104" s="4"/>
      <c r="E104" s="1"/>
      <c r="F104" s="1"/>
      <c r="G104" s="1"/>
      <c r="H104" s="1"/>
    </row>
    <row r="105" spans="1:8" s="60" customFormat="1">
      <c r="A105" s="4"/>
      <c r="E105" s="1"/>
      <c r="F105" s="1"/>
      <c r="G105" s="1"/>
      <c r="H105" s="1"/>
    </row>
    <row r="106" spans="1:8" s="60" customFormat="1">
      <c r="A106" s="4"/>
      <c r="E106" s="1"/>
      <c r="F106" s="1"/>
      <c r="G106" s="1"/>
      <c r="H106" s="1"/>
    </row>
    <row r="107" spans="1:8" s="60" customFormat="1">
      <c r="A107" s="4"/>
      <c r="E107" s="1"/>
      <c r="F107" s="1"/>
      <c r="G107" s="1"/>
      <c r="H107" s="1"/>
    </row>
    <row r="108" spans="1:8" s="60" customFormat="1">
      <c r="A108" s="4"/>
      <c r="E108" s="1"/>
      <c r="F108" s="1"/>
      <c r="G108" s="1"/>
      <c r="H108" s="1"/>
    </row>
    <row r="109" spans="1:8" s="60" customFormat="1">
      <c r="A109" s="4"/>
      <c r="E109" s="1"/>
      <c r="F109" s="1"/>
      <c r="G109" s="1"/>
      <c r="H109" s="1"/>
    </row>
    <row r="110" spans="1:8" s="60" customFormat="1">
      <c r="A110" s="4"/>
      <c r="E110" s="1"/>
      <c r="F110" s="1"/>
      <c r="G110" s="1"/>
      <c r="H110" s="1"/>
    </row>
    <row r="111" spans="1:8" s="60" customFormat="1">
      <c r="A111" s="4"/>
      <c r="E111" s="1"/>
      <c r="F111" s="1"/>
      <c r="G111" s="1"/>
      <c r="H111" s="1"/>
    </row>
    <row r="112" spans="1:8" s="60" customFormat="1">
      <c r="A112" s="4"/>
      <c r="E112" s="1"/>
      <c r="F112" s="1"/>
      <c r="G112" s="1"/>
      <c r="H112" s="1"/>
    </row>
    <row r="113" spans="1:8" s="60" customFormat="1">
      <c r="A113" s="4"/>
      <c r="E113" s="1"/>
      <c r="F113" s="1"/>
      <c r="G113" s="1"/>
      <c r="H113" s="1"/>
    </row>
    <row r="114" spans="1:8" s="60" customFormat="1">
      <c r="A114" s="4"/>
      <c r="E114" s="1"/>
      <c r="F114" s="1"/>
      <c r="G114" s="1"/>
      <c r="H114" s="1"/>
    </row>
    <row r="115" spans="1:8" s="60" customFormat="1">
      <c r="A115" s="4"/>
      <c r="E115" s="1"/>
      <c r="F115" s="1"/>
      <c r="G115" s="1"/>
      <c r="H115" s="1"/>
    </row>
    <row r="116" spans="1:8" s="60" customFormat="1">
      <c r="A116" s="4"/>
      <c r="E116" s="1"/>
      <c r="F116" s="1"/>
      <c r="G116" s="1"/>
      <c r="H116" s="1"/>
    </row>
    <row r="117" spans="1:8" s="60" customFormat="1">
      <c r="A117" s="4"/>
      <c r="E117" s="1"/>
      <c r="F117" s="1"/>
      <c r="G117" s="1"/>
      <c r="H117" s="1"/>
    </row>
    <row r="118" spans="1:8" s="60" customFormat="1">
      <c r="A118" s="4"/>
      <c r="E118" s="1"/>
      <c r="F118" s="1"/>
      <c r="G118" s="1"/>
      <c r="H118" s="1"/>
    </row>
    <row r="119" spans="1:8" s="60" customFormat="1">
      <c r="A119" s="4"/>
      <c r="E119" s="1"/>
      <c r="F119" s="1"/>
      <c r="G119" s="1"/>
      <c r="H119" s="1"/>
    </row>
    <row r="120" spans="1:8" s="60" customFormat="1">
      <c r="A120" s="4"/>
      <c r="E120" s="1"/>
      <c r="F120" s="1"/>
      <c r="G120" s="1"/>
      <c r="H120" s="1"/>
    </row>
    <row r="121" spans="1:8" s="60" customFormat="1">
      <c r="A121" s="4"/>
      <c r="E121" s="1"/>
      <c r="F121" s="1"/>
      <c r="G121" s="1"/>
      <c r="H121" s="1"/>
    </row>
    <row r="122" spans="1:8" s="60" customFormat="1">
      <c r="A122" s="4"/>
      <c r="E122" s="1"/>
      <c r="F122" s="1"/>
      <c r="G122" s="1"/>
      <c r="H122" s="1"/>
    </row>
    <row r="123" spans="1:8" s="60" customFormat="1">
      <c r="A123" s="4"/>
      <c r="E123" s="1"/>
      <c r="F123" s="1"/>
      <c r="G123" s="1"/>
      <c r="H123" s="1"/>
    </row>
    <row r="124" spans="1:8" s="60" customFormat="1">
      <c r="A124" s="4"/>
      <c r="E124" s="1"/>
      <c r="F124" s="1"/>
      <c r="G124" s="1"/>
      <c r="H124" s="1"/>
    </row>
    <row r="125" spans="1:8" s="60" customFormat="1">
      <c r="A125" s="4"/>
      <c r="E125" s="1"/>
      <c r="F125" s="1"/>
      <c r="G125" s="1"/>
      <c r="H125" s="1"/>
    </row>
    <row r="126" spans="1:8" s="60" customFormat="1">
      <c r="A126" s="4"/>
      <c r="E126" s="1"/>
      <c r="F126" s="1"/>
      <c r="G126" s="1"/>
      <c r="H126" s="1"/>
    </row>
    <row r="127" spans="1:8" s="60" customFormat="1">
      <c r="A127" s="4"/>
      <c r="E127" s="1"/>
      <c r="F127" s="1"/>
      <c r="G127" s="1"/>
      <c r="H127" s="1"/>
    </row>
    <row r="128" spans="1:8" s="60" customFormat="1">
      <c r="A128" s="4"/>
      <c r="E128" s="1"/>
      <c r="F128" s="1"/>
      <c r="G128" s="1"/>
      <c r="H128" s="1"/>
    </row>
    <row r="129" spans="1:8" s="60" customFormat="1">
      <c r="A129" s="4"/>
      <c r="E129" s="1"/>
      <c r="F129" s="1"/>
      <c r="G129" s="1"/>
      <c r="H129" s="1"/>
    </row>
    <row r="130" spans="1:8" s="60" customFormat="1">
      <c r="A130" s="4"/>
      <c r="E130" s="1"/>
      <c r="F130" s="1"/>
      <c r="G130" s="1"/>
      <c r="H130" s="1"/>
    </row>
    <row r="131" spans="1:8" s="60" customFormat="1">
      <c r="A131" s="4"/>
      <c r="E131" s="1"/>
      <c r="F131" s="1"/>
      <c r="G131" s="1"/>
      <c r="H131" s="1"/>
    </row>
    <row r="132" spans="1:8" s="60" customFormat="1">
      <c r="A132" s="4"/>
      <c r="E132" s="1"/>
      <c r="F132" s="1"/>
      <c r="G132" s="1"/>
      <c r="H132" s="1"/>
    </row>
    <row r="133" spans="1:8" s="60" customFormat="1">
      <c r="A133" s="4"/>
      <c r="E133" s="1"/>
      <c r="F133" s="1"/>
      <c r="G133" s="1"/>
      <c r="H133" s="1"/>
    </row>
    <row r="134" spans="1:8" s="60" customFormat="1">
      <c r="A134" s="4"/>
      <c r="E134" s="1"/>
      <c r="F134" s="1"/>
      <c r="G134" s="1"/>
      <c r="H134" s="1"/>
    </row>
    <row r="135" spans="1:8" s="60" customFormat="1">
      <c r="A135" s="4"/>
      <c r="E135" s="1"/>
      <c r="F135" s="1"/>
      <c r="G135" s="1"/>
      <c r="H135" s="1"/>
    </row>
    <row r="136" spans="1:8" s="60" customFormat="1">
      <c r="A136" s="4"/>
      <c r="E136" s="1"/>
      <c r="F136" s="1"/>
      <c r="G136" s="1"/>
      <c r="H136" s="1"/>
    </row>
    <row r="137" spans="1:8" s="60" customFormat="1">
      <c r="A137" s="4"/>
      <c r="E137" s="1"/>
      <c r="F137" s="1"/>
      <c r="G137" s="1"/>
      <c r="H137" s="1"/>
    </row>
    <row r="138" spans="1:8" s="60" customFormat="1">
      <c r="A138" s="4"/>
      <c r="E138" s="1"/>
      <c r="F138" s="1"/>
      <c r="G138" s="1"/>
      <c r="H138" s="1"/>
    </row>
    <row r="139" spans="1:8" s="60" customFormat="1">
      <c r="A139" s="4"/>
      <c r="E139" s="1"/>
      <c r="F139" s="1"/>
      <c r="G139" s="1"/>
      <c r="H139" s="1"/>
    </row>
    <row r="140" spans="1:8" s="60" customFormat="1">
      <c r="A140" s="4"/>
      <c r="E140" s="1"/>
      <c r="F140" s="1"/>
      <c r="G140" s="1"/>
      <c r="H140" s="1"/>
    </row>
    <row r="141" spans="1:8" s="60" customFormat="1">
      <c r="A141" s="4"/>
      <c r="E141" s="1"/>
      <c r="F141" s="1"/>
      <c r="G141" s="1"/>
      <c r="H141" s="1"/>
    </row>
    <row r="142" spans="1:8" s="60" customFormat="1">
      <c r="A142" s="4"/>
      <c r="E142" s="1"/>
      <c r="F142" s="1"/>
      <c r="G142" s="1"/>
      <c r="H142" s="1"/>
    </row>
    <row r="143" spans="1:8" s="60" customFormat="1">
      <c r="A143" s="4"/>
      <c r="E143" s="1"/>
      <c r="F143" s="1"/>
      <c r="G143" s="1"/>
      <c r="H143" s="1"/>
    </row>
    <row r="144" spans="1:8" s="60" customFormat="1">
      <c r="A144" s="4"/>
      <c r="E144" s="1"/>
      <c r="F144" s="1"/>
      <c r="G144" s="1"/>
      <c r="H144" s="1"/>
    </row>
    <row r="145" spans="1:8" s="60" customFormat="1">
      <c r="A145" s="4"/>
      <c r="E145" s="1"/>
      <c r="F145" s="1"/>
      <c r="G145" s="1"/>
      <c r="H145" s="1"/>
    </row>
    <row r="146" spans="1:8" s="60" customFormat="1">
      <c r="A146" s="4"/>
      <c r="E146" s="1"/>
      <c r="F146" s="1"/>
      <c r="G146" s="1"/>
      <c r="H146" s="1"/>
    </row>
    <row r="147" spans="1:8" s="60" customFormat="1">
      <c r="A147" s="4"/>
      <c r="E147" s="1"/>
      <c r="F147" s="1"/>
      <c r="G147" s="1"/>
      <c r="H147" s="1"/>
    </row>
    <row r="148" spans="1:8" s="60" customFormat="1">
      <c r="A148" s="4"/>
      <c r="E148" s="1"/>
      <c r="F148" s="1"/>
      <c r="G148" s="1"/>
      <c r="H148" s="1"/>
    </row>
    <row r="149" spans="1:8" s="60" customFormat="1">
      <c r="A149" s="4"/>
      <c r="E149" s="1"/>
      <c r="F149" s="1"/>
      <c r="G149" s="1"/>
      <c r="H149" s="1"/>
    </row>
    <row r="150" spans="1:8" s="60" customFormat="1">
      <c r="A150" s="4"/>
      <c r="E150" s="1"/>
      <c r="F150" s="1"/>
      <c r="G150" s="1"/>
      <c r="H150" s="1"/>
    </row>
    <row r="151" spans="1:8" s="60" customFormat="1">
      <c r="A151" s="4"/>
      <c r="E151" s="1"/>
      <c r="F151" s="1"/>
      <c r="G151" s="1"/>
      <c r="H151" s="1"/>
    </row>
    <row r="152" spans="1:8" s="60" customFormat="1">
      <c r="A152" s="4"/>
      <c r="E152" s="1"/>
      <c r="F152" s="1"/>
      <c r="G152" s="1"/>
      <c r="H152" s="1"/>
    </row>
    <row r="153" spans="1:8" s="60" customFormat="1">
      <c r="A153" s="4"/>
      <c r="E153" s="1"/>
      <c r="F153" s="1"/>
      <c r="G153" s="1"/>
      <c r="H153" s="1"/>
    </row>
    <row r="154" spans="1:8" s="60" customFormat="1">
      <c r="A154" s="4"/>
      <c r="E154" s="1"/>
      <c r="F154" s="1"/>
      <c r="G154" s="1"/>
      <c r="H154" s="1"/>
    </row>
    <row r="155" spans="1:8" s="60" customFormat="1">
      <c r="A155" s="4"/>
      <c r="E155" s="1"/>
      <c r="F155" s="1"/>
      <c r="G155" s="1"/>
      <c r="H155" s="1"/>
    </row>
    <row r="156" spans="1:8" s="60" customFormat="1">
      <c r="A156" s="4"/>
      <c r="E156" s="1"/>
      <c r="F156" s="1"/>
      <c r="G156" s="1"/>
      <c r="H156" s="1"/>
    </row>
    <row r="157" spans="1:8" s="60" customFormat="1">
      <c r="A157" s="4"/>
      <c r="E157" s="1"/>
      <c r="F157" s="1"/>
      <c r="G157" s="1"/>
      <c r="H157" s="1"/>
    </row>
    <row r="158" spans="1:8" s="60" customFormat="1">
      <c r="A158" s="4"/>
      <c r="E158" s="1"/>
      <c r="F158" s="1"/>
      <c r="G158" s="1"/>
      <c r="H158" s="1"/>
    </row>
    <row r="159" spans="1:8" s="60" customFormat="1">
      <c r="A159" s="4"/>
      <c r="E159" s="1"/>
      <c r="F159" s="1"/>
      <c r="G159" s="1"/>
      <c r="H159" s="1"/>
    </row>
    <row r="160" spans="1:8" s="60" customFormat="1">
      <c r="A160" s="4"/>
      <c r="E160" s="1"/>
      <c r="F160" s="1"/>
      <c r="G160" s="1"/>
      <c r="H160" s="1"/>
    </row>
    <row r="161" spans="1:8" s="60" customFormat="1">
      <c r="A161" s="4"/>
      <c r="E161" s="1"/>
      <c r="F161" s="1"/>
      <c r="G161" s="1"/>
      <c r="H161" s="1"/>
    </row>
    <row r="162" spans="1:8" s="60" customFormat="1">
      <c r="A162" s="4"/>
      <c r="E162" s="1"/>
      <c r="F162" s="1"/>
      <c r="G162" s="1"/>
      <c r="H162" s="1"/>
    </row>
    <row r="163" spans="1:8" s="60" customFormat="1">
      <c r="A163" s="4"/>
      <c r="E163" s="1"/>
      <c r="F163" s="1"/>
      <c r="G163" s="1"/>
      <c r="H163" s="1"/>
    </row>
    <row r="164" spans="1:8" s="60" customFormat="1">
      <c r="A164" s="4"/>
      <c r="E164" s="1"/>
      <c r="F164" s="1"/>
      <c r="G164" s="1"/>
      <c r="H164" s="1"/>
    </row>
    <row r="165" spans="1:8" s="60" customFormat="1">
      <c r="A165" s="4"/>
      <c r="E165" s="1"/>
      <c r="F165" s="1"/>
      <c r="G165" s="1"/>
      <c r="H165" s="1"/>
    </row>
    <row r="166" spans="1:8" s="60" customFormat="1">
      <c r="A166" s="4"/>
      <c r="E166" s="1"/>
      <c r="F166" s="1"/>
      <c r="G166" s="1"/>
      <c r="H166" s="1"/>
    </row>
    <row r="167" spans="1:8" s="60" customFormat="1">
      <c r="A167" s="4"/>
      <c r="E167" s="1"/>
      <c r="F167" s="1"/>
      <c r="G167" s="1"/>
      <c r="H167" s="1"/>
    </row>
    <row r="168" spans="1:8" s="60" customFormat="1">
      <c r="A168" s="4"/>
      <c r="E168" s="1"/>
      <c r="F168" s="1"/>
      <c r="G168" s="1"/>
      <c r="H168" s="1"/>
    </row>
    <row r="169" spans="1:8" s="60" customFormat="1">
      <c r="A169" s="4"/>
      <c r="E169" s="1"/>
      <c r="F169" s="1"/>
      <c r="G169" s="1"/>
      <c r="H169" s="1"/>
    </row>
    <row r="170" spans="1:8" s="60" customFormat="1">
      <c r="A170" s="4"/>
      <c r="E170" s="1"/>
      <c r="F170" s="1"/>
      <c r="G170" s="1"/>
      <c r="H170" s="1"/>
    </row>
    <row r="171" spans="1:8" s="60" customFormat="1">
      <c r="A171" s="4"/>
      <c r="E171" s="1"/>
      <c r="F171" s="1"/>
      <c r="G171" s="1"/>
      <c r="H171" s="1"/>
    </row>
    <row r="172" spans="1:8" s="60" customFormat="1">
      <c r="A172" s="4"/>
      <c r="E172" s="1"/>
      <c r="F172" s="1"/>
      <c r="G172" s="1"/>
      <c r="H172" s="1"/>
    </row>
    <row r="173" spans="1:8" s="60" customFormat="1">
      <c r="A173" s="4"/>
      <c r="E173" s="1"/>
      <c r="F173" s="1"/>
      <c r="G173" s="1"/>
      <c r="H173" s="1"/>
    </row>
    <row r="174" spans="1:8" s="60" customFormat="1">
      <c r="A174" s="4"/>
      <c r="E174" s="1"/>
      <c r="F174" s="1"/>
      <c r="G174" s="1"/>
      <c r="H174" s="1"/>
    </row>
    <row r="175" spans="1:8" s="60" customFormat="1">
      <c r="A175" s="4"/>
      <c r="E175" s="1"/>
      <c r="F175" s="1"/>
      <c r="G175" s="1"/>
      <c r="H175" s="1"/>
    </row>
    <row r="176" spans="1:8" s="60" customFormat="1">
      <c r="A176" s="4"/>
      <c r="E176" s="1"/>
      <c r="F176" s="1"/>
      <c r="G176" s="1"/>
      <c r="H176" s="1"/>
    </row>
    <row r="177" spans="1:8" s="60" customFormat="1">
      <c r="A177" s="4"/>
      <c r="E177" s="1"/>
      <c r="F177" s="1"/>
      <c r="G177" s="1"/>
      <c r="H177" s="1"/>
    </row>
    <row r="178" spans="1:8" s="60" customFormat="1">
      <c r="A178" s="4"/>
      <c r="E178" s="1"/>
      <c r="F178" s="1"/>
      <c r="G178" s="1"/>
      <c r="H178" s="1"/>
    </row>
    <row r="179" spans="1:8" s="60" customFormat="1">
      <c r="A179" s="4"/>
      <c r="E179" s="1"/>
      <c r="F179" s="1"/>
      <c r="G179" s="1"/>
      <c r="H179" s="1"/>
    </row>
    <row r="180" spans="1:8" s="60" customFormat="1">
      <c r="A180" s="4"/>
      <c r="E180" s="1"/>
      <c r="F180" s="1"/>
      <c r="G180" s="1"/>
      <c r="H180" s="1"/>
    </row>
    <row r="181" spans="1:8" s="60" customFormat="1">
      <c r="A181" s="4"/>
      <c r="E181" s="1"/>
      <c r="F181" s="1"/>
      <c r="G181" s="1"/>
      <c r="H181" s="1"/>
    </row>
    <row r="182" spans="1:8" s="60" customFormat="1">
      <c r="A182" s="4"/>
      <c r="E182" s="1"/>
      <c r="F182" s="1"/>
      <c r="G182" s="1"/>
      <c r="H182" s="1"/>
    </row>
    <row r="183" spans="1:8" s="60" customFormat="1">
      <c r="A183" s="4"/>
      <c r="E183" s="1"/>
      <c r="F183" s="1"/>
      <c r="G183" s="1"/>
      <c r="H183" s="1"/>
    </row>
    <row r="184" spans="1:8" s="60" customFormat="1">
      <c r="A184" s="4"/>
      <c r="E184" s="1"/>
      <c r="F184" s="1"/>
      <c r="G184" s="1"/>
      <c r="H184" s="1"/>
    </row>
    <row r="185" spans="1:8" s="60" customFormat="1">
      <c r="A185" s="4"/>
      <c r="E185" s="1"/>
      <c r="F185" s="1"/>
      <c r="G185" s="1"/>
      <c r="H185" s="1"/>
    </row>
    <row r="186" spans="1:8" s="60" customFormat="1">
      <c r="A186" s="4"/>
      <c r="E186" s="1"/>
      <c r="F186" s="1"/>
      <c r="G186" s="1"/>
      <c r="H186" s="1"/>
    </row>
    <row r="187" spans="1:8" s="60" customFormat="1">
      <c r="A187" s="4"/>
      <c r="E187" s="1"/>
      <c r="F187" s="1"/>
      <c r="G187" s="1"/>
      <c r="H187" s="1"/>
    </row>
    <row r="188" spans="1:8" s="60" customFormat="1">
      <c r="A188" s="4"/>
      <c r="E188" s="1"/>
      <c r="F188" s="1"/>
      <c r="G188" s="1"/>
      <c r="H188" s="1"/>
    </row>
    <row r="189" spans="1:8" s="60" customFormat="1">
      <c r="A189" s="4"/>
      <c r="E189" s="1"/>
      <c r="F189" s="1"/>
      <c r="G189" s="1"/>
      <c r="H189" s="1"/>
    </row>
    <row r="190" spans="1:8" s="60" customFormat="1">
      <c r="A190" s="4"/>
      <c r="E190" s="1"/>
      <c r="F190" s="1"/>
      <c r="G190" s="1"/>
      <c r="H190" s="1"/>
    </row>
    <row r="191" spans="1:8" s="60" customFormat="1">
      <c r="A191" s="4"/>
      <c r="E191" s="1"/>
      <c r="F191" s="1"/>
      <c r="G191" s="1"/>
      <c r="H191" s="1"/>
    </row>
    <row r="192" spans="1:8" s="60" customFormat="1">
      <c r="A192" s="4"/>
      <c r="E192" s="1"/>
      <c r="F192" s="1"/>
      <c r="G192" s="1"/>
      <c r="H192" s="1"/>
    </row>
    <row r="193" spans="1:8" s="60" customFormat="1">
      <c r="A193" s="4"/>
      <c r="E193" s="1"/>
      <c r="F193" s="1"/>
      <c r="G193" s="1"/>
      <c r="H193" s="1"/>
    </row>
    <row r="194" spans="1:8" s="60" customFormat="1">
      <c r="A194" s="4"/>
      <c r="E194" s="1"/>
      <c r="F194" s="1"/>
      <c r="G194" s="1"/>
      <c r="H194" s="1"/>
    </row>
    <row r="195" spans="1:8" s="60" customFormat="1">
      <c r="A195" s="4"/>
      <c r="E195" s="1"/>
      <c r="F195" s="1"/>
      <c r="G195" s="1"/>
      <c r="H195" s="1"/>
    </row>
    <row r="196" spans="1:8" s="60" customFormat="1">
      <c r="A196" s="4"/>
      <c r="E196" s="1"/>
      <c r="F196" s="1"/>
      <c r="G196" s="1"/>
      <c r="H196" s="1"/>
    </row>
    <row r="197" spans="1:8" s="60" customFormat="1">
      <c r="A197" s="4"/>
      <c r="E197" s="1"/>
      <c r="F197" s="1"/>
      <c r="G197" s="1"/>
      <c r="H197" s="1"/>
    </row>
    <row r="198" spans="1:8" s="60" customFormat="1">
      <c r="A198" s="4"/>
      <c r="E198" s="1"/>
      <c r="F198" s="1"/>
      <c r="G198" s="1"/>
      <c r="H198" s="1"/>
    </row>
    <row r="199" spans="1:8" s="60" customFormat="1">
      <c r="A199" s="4"/>
      <c r="E199" s="1"/>
      <c r="F199" s="1"/>
      <c r="G199" s="1"/>
      <c r="H199" s="1"/>
    </row>
    <row r="200" spans="1:8" s="60" customFormat="1">
      <c r="A200" s="4"/>
      <c r="E200" s="1"/>
      <c r="F200" s="1"/>
      <c r="G200" s="1"/>
      <c r="H200" s="1"/>
    </row>
    <row r="201" spans="1:8" s="60" customFormat="1">
      <c r="A201" s="4"/>
      <c r="E201" s="1"/>
      <c r="F201" s="1"/>
      <c r="G201" s="1"/>
      <c r="H201" s="1"/>
    </row>
    <row r="202" spans="1:8" s="60" customFormat="1">
      <c r="A202" s="4"/>
      <c r="E202" s="1"/>
      <c r="F202" s="1"/>
      <c r="G202" s="1"/>
      <c r="H202" s="1"/>
    </row>
    <row r="203" spans="1:8" s="60" customFormat="1">
      <c r="A203" s="4"/>
      <c r="E203" s="1"/>
      <c r="F203" s="1"/>
      <c r="G203" s="1"/>
      <c r="H203" s="1"/>
    </row>
    <row r="204" spans="1:8" s="60" customFormat="1">
      <c r="A204" s="4"/>
      <c r="E204" s="1"/>
      <c r="F204" s="1"/>
      <c r="G204" s="1"/>
      <c r="H204" s="1"/>
    </row>
    <row r="205" spans="1:8" s="60" customFormat="1">
      <c r="A205" s="4"/>
      <c r="E205" s="1"/>
      <c r="F205" s="1"/>
      <c r="G205" s="1"/>
      <c r="H205" s="1"/>
    </row>
    <row r="206" spans="1:8" s="60" customFormat="1">
      <c r="A206" s="4"/>
      <c r="E206" s="1"/>
      <c r="F206" s="1"/>
      <c r="G206" s="1"/>
      <c r="H206" s="1"/>
    </row>
    <row r="207" spans="1:8" s="60" customFormat="1">
      <c r="A207" s="4"/>
      <c r="E207" s="1"/>
      <c r="F207" s="1"/>
      <c r="G207" s="1"/>
      <c r="H207" s="1"/>
    </row>
    <row r="208" spans="1:8" s="60" customFormat="1">
      <c r="A208" s="4"/>
      <c r="E208" s="1"/>
      <c r="F208" s="1"/>
      <c r="G208" s="1"/>
      <c r="H208" s="1"/>
    </row>
    <row r="209" spans="1:8" s="60" customFormat="1">
      <c r="A209" s="4"/>
      <c r="E209" s="1"/>
      <c r="F209" s="1"/>
      <c r="G209" s="1"/>
      <c r="H209" s="1"/>
    </row>
    <row r="210" spans="1:8" s="60" customFormat="1">
      <c r="A210" s="4"/>
      <c r="E210" s="1"/>
      <c r="F210" s="1"/>
      <c r="G210" s="1"/>
      <c r="H210" s="1"/>
    </row>
    <row r="211" spans="1:8" s="60" customFormat="1">
      <c r="A211" s="4"/>
      <c r="E211" s="1"/>
      <c r="F211" s="1"/>
      <c r="G211" s="1"/>
      <c r="H211" s="1"/>
    </row>
    <row r="212" spans="1:8" s="60" customFormat="1">
      <c r="A212" s="4"/>
      <c r="E212" s="1"/>
      <c r="F212" s="1"/>
      <c r="G212" s="1"/>
      <c r="H212" s="1"/>
    </row>
    <row r="213" spans="1:8" s="60" customFormat="1">
      <c r="A213" s="4"/>
      <c r="E213" s="1"/>
      <c r="F213" s="1"/>
      <c r="G213" s="1"/>
      <c r="H213" s="1"/>
    </row>
    <row r="214" spans="1:8" s="60" customFormat="1">
      <c r="A214" s="4"/>
      <c r="E214" s="1"/>
      <c r="F214" s="1"/>
      <c r="G214" s="1"/>
      <c r="H214" s="1"/>
    </row>
    <row r="215" spans="1:8" s="60" customFormat="1">
      <c r="A215" s="4"/>
      <c r="E215" s="1"/>
      <c r="F215" s="1"/>
      <c r="G215" s="1"/>
      <c r="H215" s="1"/>
    </row>
    <row r="216" spans="1:8" s="60" customFormat="1">
      <c r="A216" s="4"/>
      <c r="E216" s="1"/>
      <c r="F216" s="1"/>
      <c r="G216" s="1"/>
      <c r="H216" s="1"/>
    </row>
    <row r="217" spans="1:8" s="60" customFormat="1">
      <c r="A217" s="4"/>
      <c r="E217" s="1"/>
      <c r="F217" s="1"/>
      <c r="G217" s="1"/>
      <c r="H217" s="1"/>
    </row>
    <row r="218" spans="1:8" s="60" customFormat="1">
      <c r="A218" s="4"/>
      <c r="E218" s="1"/>
      <c r="F218" s="1"/>
      <c r="G218" s="1"/>
      <c r="H218" s="1"/>
    </row>
    <row r="219" spans="1:8" s="60" customFormat="1">
      <c r="A219" s="4"/>
      <c r="E219" s="1"/>
      <c r="F219" s="1"/>
      <c r="G219" s="1"/>
      <c r="H219" s="1"/>
    </row>
    <row r="220" spans="1:8" s="60" customFormat="1">
      <c r="A220" s="4"/>
      <c r="E220" s="1"/>
      <c r="F220" s="1"/>
      <c r="G220" s="1"/>
      <c r="H220" s="1"/>
    </row>
    <row r="221" spans="1:8" s="60" customFormat="1">
      <c r="A221" s="4"/>
      <c r="E221" s="1"/>
      <c r="F221" s="1"/>
      <c r="G221" s="1"/>
      <c r="H221" s="1"/>
    </row>
    <row r="222" spans="1:8" s="60" customFormat="1">
      <c r="A222" s="4"/>
      <c r="E222" s="1"/>
      <c r="F222" s="1"/>
      <c r="G222" s="1"/>
      <c r="H222" s="1"/>
    </row>
    <row r="223" spans="1:8" s="60" customFormat="1">
      <c r="A223" s="4"/>
      <c r="E223" s="1"/>
      <c r="F223" s="1"/>
      <c r="G223" s="1"/>
      <c r="H223" s="1"/>
    </row>
    <row r="224" spans="1:8" s="60" customFormat="1">
      <c r="A224" s="4"/>
      <c r="E224" s="1"/>
      <c r="F224" s="1"/>
      <c r="G224" s="1"/>
      <c r="H224" s="1"/>
    </row>
    <row r="225" spans="1:8" s="60" customFormat="1">
      <c r="A225" s="4"/>
      <c r="E225" s="1"/>
      <c r="F225" s="1"/>
      <c r="G225" s="1"/>
      <c r="H225" s="1"/>
    </row>
    <row r="226" spans="1:8" s="60" customFormat="1">
      <c r="A226" s="4"/>
      <c r="E226" s="1"/>
      <c r="F226" s="1"/>
      <c r="G226" s="1"/>
      <c r="H226" s="1"/>
    </row>
    <row r="227" spans="1:8" s="60" customFormat="1">
      <c r="A227" s="4"/>
      <c r="E227" s="1"/>
      <c r="F227" s="1"/>
      <c r="G227" s="1"/>
      <c r="H227" s="1"/>
    </row>
    <row r="228" spans="1:8" s="60" customFormat="1">
      <c r="A228" s="4"/>
      <c r="E228" s="1"/>
      <c r="F228" s="1"/>
      <c r="G228" s="1"/>
      <c r="H228" s="1"/>
    </row>
    <row r="229" spans="1:8" s="60" customFormat="1">
      <c r="A229" s="4"/>
      <c r="E229" s="1"/>
      <c r="F229" s="1"/>
      <c r="G229" s="1"/>
      <c r="H229" s="1"/>
    </row>
    <row r="230" spans="1:8" s="60" customFormat="1">
      <c r="A230" s="4"/>
      <c r="E230" s="1"/>
      <c r="F230" s="1"/>
      <c r="G230" s="1"/>
      <c r="H230" s="1"/>
    </row>
    <row r="231" spans="1:8" s="60" customFormat="1">
      <c r="A231" s="4"/>
      <c r="E231" s="1"/>
      <c r="F231" s="1"/>
      <c r="G231" s="1"/>
      <c r="H231" s="1"/>
    </row>
    <row r="232" spans="1:8" s="60" customFormat="1">
      <c r="A232" s="4"/>
      <c r="E232" s="1"/>
      <c r="F232" s="1"/>
      <c r="G232" s="1"/>
      <c r="H232" s="1"/>
    </row>
    <row r="233" spans="1:8" s="60" customFormat="1">
      <c r="A233" s="4"/>
      <c r="E233" s="1"/>
      <c r="F233" s="1"/>
      <c r="G233" s="1"/>
      <c r="H233" s="1"/>
    </row>
    <row r="234" spans="1:8" s="60" customFormat="1">
      <c r="A234" s="4"/>
      <c r="E234" s="1"/>
      <c r="F234" s="1"/>
      <c r="G234" s="1"/>
      <c r="H234" s="1"/>
    </row>
    <row r="235" spans="1:8" s="60" customFormat="1">
      <c r="A235" s="4"/>
      <c r="E235" s="1"/>
      <c r="F235" s="1"/>
      <c r="G235" s="1"/>
      <c r="H235" s="1"/>
    </row>
    <row r="236" spans="1:8" s="60" customFormat="1">
      <c r="A236" s="4"/>
      <c r="E236" s="1"/>
      <c r="F236" s="1"/>
      <c r="G236" s="1"/>
      <c r="H236" s="1"/>
    </row>
    <row r="237" spans="1:8" s="60" customFormat="1">
      <c r="A237" s="4"/>
      <c r="E237" s="1"/>
      <c r="F237" s="1"/>
      <c r="G237" s="1"/>
      <c r="H237" s="1"/>
    </row>
    <row r="238" spans="1:8" s="60" customFormat="1">
      <c r="A238" s="4"/>
      <c r="E238" s="1"/>
      <c r="F238" s="1"/>
      <c r="G238" s="1"/>
      <c r="H238" s="1"/>
    </row>
    <row r="239" spans="1:8" s="60" customFormat="1">
      <c r="A239" s="4"/>
      <c r="E239" s="1"/>
      <c r="F239" s="1"/>
      <c r="G239" s="1"/>
      <c r="H239" s="1"/>
    </row>
    <row r="240" spans="1:8" s="60" customFormat="1">
      <c r="A240" s="4"/>
      <c r="E240" s="1"/>
      <c r="F240" s="1"/>
      <c r="G240" s="1"/>
      <c r="H240" s="1"/>
    </row>
    <row r="241" spans="1:8" s="60" customFormat="1">
      <c r="A241" s="4"/>
      <c r="E241" s="1"/>
      <c r="F241" s="1"/>
      <c r="G241" s="1"/>
      <c r="H241" s="1"/>
    </row>
    <row r="242" spans="1:8" s="60" customFormat="1">
      <c r="A242" s="4"/>
      <c r="E242" s="1"/>
      <c r="F242" s="1"/>
      <c r="G242" s="1"/>
      <c r="H242" s="1"/>
    </row>
    <row r="243" spans="1:8" s="60" customFormat="1">
      <c r="A243" s="4"/>
      <c r="E243" s="1"/>
      <c r="F243" s="1"/>
      <c r="G243" s="1"/>
      <c r="H243" s="1"/>
    </row>
    <row r="244" spans="1:8" s="60" customFormat="1">
      <c r="A244" s="4"/>
      <c r="E244" s="1"/>
      <c r="F244" s="1"/>
      <c r="G244" s="1"/>
      <c r="H244" s="1"/>
    </row>
    <row r="245" spans="1:8" s="60" customFormat="1">
      <c r="A245" s="4"/>
      <c r="E245" s="1"/>
      <c r="F245" s="1"/>
      <c r="G245" s="1"/>
      <c r="H245" s="1"/>
    </row>
    <row r="246" spans="1:8" s="60" customFormat="1">
      <c r="A246" s="4"/>
      <c r="E246" s="1"/>
      <c r="F246" s="1"/>
      <c r="G246" s="1"/>
      <c r="H246" s="1"/>
    </row>
    <row r="247" spans="1:8" s="60" customFormat="1">
      <c r="A247" s="4"/>
      <c r="E247" s="1"/>
      <c r="F247" s="1"/>
      <c r="G247" s="1"/>
      <c r="H247" s="1"/>
    </row>
    <row r="248" spans="1:8" s="60" customFormat="1">
      <c r="A248" s="4"/>
      <c r="E248" s="1"/>
      <c r="F248" s="1"/>
      <c r="G248" s="1"/>
      <c r="H248" s="1"/>
    </row>
    <row r="249" spans="1:8" s="60" customFormat="1">
      <c r="A249" s="4"/>
      <c r="E249" s="1"/>
      <c r="F249" s="1"/>
      <c r="G249" s="1"/>
      <c r="H249" s="1"/>
    </row>
  </sheetData>
  <mergeCells count="22"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A44:H44"/>
    <mergeCell ref="G98:H98"/>
    <mergeCell ref="G97:H97"/>
    <mergeCell ref="A78:H78"/>
    <mergeCell ref="C79:D79"/>
    <mergeCell ref="E79:E80"/>
    <mergeCell ref="F79:F80"/>
    <mergeCell ref="G79:G80"/>
    <mergeCell ref="H79:H80"/>
    <mergeCell ref="A79:A80"/>
    <mergeCell ref="B79:B80"/>
    <mergeCell ref="D97:E97"/>
    <mergeCell ref="D98:E98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7" fitToHeight="6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M213"/>
  <sheetViews>
    <sheetView view="pageBreakPreview" topLeftCell="A33" zoomScaleSheetLayoutView="100" workbookViewId="0">
      <selection activeCell="M38" sqref="M38"/>
    </sheetView>
  </sheetViews>
  <sheetFormatPr defaultRowHeight="18.75"/>
  <cols>
    <col min="1" max="1" width="4" style="153" customWidth="1"/>
    <col min="2" max="2" width="58.5703125" style="153" customWidth="1"/>
    <col min="3" max="3" width="8.7109375" style="61" customWidth="1"/>
    <col min="4" max="4" width="15.42578125" style="61" customWidth="1"/>
    <col min="5" max="5" width="15.42578125" style="368" customWidth="1"/>
    <col min="6" max="6" width="16.42578125" style="368" customWidth="1"/>
    <col min="7" max="7" width="14.5703125" style="180" customWidth="1"/>
    <col min="8" max="8" width="15.28515625" style="180" customWidth="1"/>
    <col min="9" max="11" width="9.140625" style="153"/>
    <col min="12" max="12" width="16.85546875" style="153" customWidth="1"/>
    <col min="13" max="13" width="19.42578125" style="153" customWidth="1"/>
    <col min="14" max="16384" width="9.140625" style="153"/>
  </cols>
  <sheetData>
    <row r="1" spans="1:8" ht="29.25" customHeight="1">
      <c r="A1" s="323" t="s">
        <v>84</v>
      </c>
      <c r="B1" s="323"/>
      <c r="C1" s="323"/>
      <c r="D1" s="323"/>
      <c r="E1" s="323"/>
      <c r="F1" s="323"/>
      <c r="G1" s="323"/>
      <c r="H1" s="323"/>
    </row>
    <row r="2" spans="1:8">
      <c r="A2" s="5"/>
      <c r="B2" s="179"/>
      <c r="C2" s="270"/>
      <c r="D2" s="271"/>
      <c r="E2" s="355"/>
      <c r="F2" s="355"/>
      <c r="H2" s="180" t="s">
        <v>59</v>
      </c>
    </row>
    <row r="3" spans="1:8" s="154" customFormat="1" ht="60.75" customHeight="1">
      <c r="A3" s="29" t="s">
        <v>6</v>
      </c>
      <c r="B3" s="9" t="s">
        <v>20</v>
      </c>
      <c r="C3" s="29" t="s">
        <v>4</v>
      </c>
      <c r="D3" s="11" t="s">
        <v>357</v>
      </c>
      <c r="E3" s="356" t="s">
        <v>358</v>
      </c>
      <c r="F3" s="357" t="s">
        <v>359</v>
      </c>
      <c r="G3" s="11" t="s">
        <v>180</v>
      </c>
      <c r="H3" s="11" t="s">
        <v>181</v>
      </c>
    </row>
    <row r="4" spans="1:8" ht="19.5" customHeight="1">
      <c r="A4" s="181">
        <v>1</v>
      </c>
      <c r="B4" s="9">
        <v>2</v>
      </c>
      <c r="C4" s="9">
        <v>3</v>
      </c>
      <c r="D4" s="9">
        <v>4</v>
      </c>
      <c r="E4" s="358">
        <v>5</v>
      </c>
      <c r="F4" s="358">
        <v>6</v>
      </c>
      <c r="G4" s="152">
        <v>7</v>
      </c>
      <c r="H4" s="11">
        <v>8</v>
      </c>
    </row>
    <row r="5" spans="1:8" ht="27.75" customHeight="1">
      <c r="A5" s="326" t="s">
        <v>68</v>
      </c>
      <c r="B5" s="327"/>
      <c r="C5" s="9"/>
      <c r="D5" s="214">
        <f>D6+D12+D20+D22</f>
        <v>270360.60000000003</v>
      </c>
      <c r="E5" s="359">
        <f>E6+E12+E20+E22</f>
        <v>282557.40000000002</v>
      </c>
      <c r="F5" s="359">
        <f>F6+F12+F20+F22</f>
        <v>320808.5</v>
      </c>
      <c r="G5" s="182">
        <f>F5-E5</f>
        <v>38251.099999999977</v>
      </c>
      <c r="H5" s="182">
        <f t="shared" ref="H5:H19" si="0">(F5/E5)*100</f>
        <v>113.53746176882997</v>
      </c>
    </row>
    <row r="6" spans="1:8" ht="42" customHeight="1">
      <c r="A6" s="320" t="s">
        <v>67</v>
      </c>
      <c r="B6" s="321"/>
      <c r="C6" s="13">
        <v>1000</v>
      </c>
      <c r="D6" s="175">
        <f>D7+D8+D9+D10</f>
        <v>216900</v>
      </c>
      <c r="E6" s="360">
        <f>E7+E8+E9+E10+E11</f>
        <v>247397.7</v>
      </c>
      <c r="F6" s="360">
        <f>F7+F8+F9+F10+F11</f>
        <v>269811.10000000003</v>
      </c>
      <c r="G6" s="182">
        <f t="shared" ref="G6:G19" si="1">F6-E6</f>
        <v>22413.400000000023</v>
      </c>
      <c r="H6" s="182">
        <f t="shared" si="0"/>
        <v>109.05966385297843</v>
      </c>
    </row>
    <row r="7" spans="1:8" ht="38.25" customHeight="1">
      <c r="A7" s="181">
        <v>1</v>
      </c>
      <c r="B7" s="16" t="s">
        <v>405</v>
      </c>
      <c r="C7" s="9"/>
      <c r="D7" s="171">
        <v>215885.1</v>
      </c>
      <c r="E7" s="361">
        <v>246367.2</v>
      </c>
      <c r="F7" s="362">
        <v>268924.90000000002</v>
      </c>
      <c r="G7" s="33">
        <f t="shared" si="1"/>
        <v>22557.700000000012</v>
      </c>
      <c r="H7" s="33">
        <f t="shared" si="0"/>
        <v>109.15612954971279</v>
      </c>
    </row>
    <row r="8" spans="1:8" ht="57.75" customHeight="1">
      <c r="A8" s="181">
        <v>2</v>
      </c>
      <c r="B8" s="16" t="s">
        <v>195</v>
      </c>
      <c r="C8" s="13"/>
      <c r="D8" s="171">
        <v>123.4</v>
      </c>
      <c r="E8" s="361">
        <v>152.1</v>
      </c>
      <c r="F8" s="362">
        <v>194.4</v>
      </c>
      <c r="G8" s="33">
        <f t="shared" ref="G8:G9" si="2">F8-E8</f>
        <v>42.300000000000011</v>
      </c>
      <c r="H8" s="182">
        <f t="shared" ref="H8:H9" si="3">(F8/E8)*100</f>
        <v>127.81065088757397</v>
      </c>
    </row>
    <row r="9" spans="1:8" ht="35.25" customHeight="1">
      <c r="A9" s="184">
        <v>3</v>
      </c>
      <c r="B9" s="16" t="s">
        <v>281</v>
      </c>
      <c r="C9" s="13"/>
      <c r="D9" s="171">
        <v>115</v>
      </c>
      <c r="E9" s="361"/>
      <c r="F9" s="362">
        <v>70.5</v>
      </c>
      <c r="G9" s="33">
        <f t="shared" si="2"/>
        <v>70.5</v>
      </c>
      <c r="H9" s="185" t="e">
        <f t="shared" si="3"/>
        <v>#DIV/0!</v>
      </c>
    </row>
    <row r="10" spans="1:8" ht="94.5" customHeight="1">
      <c r="A10" s="186" t="s">
        <v>284</v>
      </c>
      <c r="B10" s="28" t="s">
        <v>406</v>
      </c>
      <c r="C10" s="13"/>
      <c r="D10" s="171">
        <v>776.5</v>
      </c>
      <c r="E10" s="361">
        <v>878.4</v>
      </c>
      <c r="F10" s="362">
        <v>621</v>
      </c>
      <c r="G10" s="33"/>
      <c r="H10" s="185"/>
    </row>
    <row r="11" spans="1:8" ht="22.5" customHeight="1">
      <c r="A11" s="186" t="s">
        <v>293</v>
      </c>
      <c r="B11" s="16" t="s">
        <v>314</v>
      </c>
      <c r="C11" s="13"/>
      <c r="D11" s="171"/>
      <c r="E11" s="361"/>
      <c r="F11" s="362">
        <v>0.3</v>
      </c>
      <c r="G11" s="33"/>
      <c r="H11" s="185"/>
    </row>
    <row r="12" spans="1:8" ht="25.5" customHeight="1">
      <c r="A12" s="320" t="s">
        <v>31</v>
      </c>
      <c r="B12" s="321"/>
      <c r="C12" s="13">
        <v>1040</v>
      </c>
      <c r="D12" s="175">
        <f>SUM(D13:D19)</f>
        <v>28366.2</v>
      </c>
      <c r="E12" s="360">
        <f>SUM(E13:E19)</f>
        <v>12342.699999999999</v>
      </c>
      <c r="F12" s="360">
        <f>SUM(F13:F19)</f>
        <v>24709.7</v>
      </c>
      <c r="G12" s="182">
        <f t="shared" si="1"/>
        <v>12367.000000000002</v>
      </c>
      <c r="H12" s="182">
        <f t="shared" si="0"/>
        <v>200.19687750654236</v>
      </c>
    </row>
    <row r="13" spans="1:8" ht="56.25" customHeight="1">
      <c r="A13" s="9">
        <v>1</v>
      </c>
      <c r="B13" s="187" t="s">
        <v>280</v>
      </c>
      <c r="C13" s="13"/>
      <c r="D13" s="171">
        <v>5639</v>
      </c>
      <c r="E13" s="361"/>
      <c r="F13" s="362">
        <v>250.1</v>
      </c>
      <c r="G13" s="33">
        <f t="shared" si="1"/>
        <v>250.1</v>
      </c>
      <c r="H13" s="92" t="e">
        <f t="shared" si="0"/>
        <v>#DIV/0!</v>
      </c>
    </row>
    <row r="14" spans="1:8" ht="42" customHeight="1">
      <c r="A14" s="9">
        <v>2</v>
      </c>
      <c r="B14" s="16" t="s">
        <v>279</v>
      </c>
      <c r="C14" s="13"/>
      <c r="D14" s="171">
        <v>11500.2</v>
      </c>
      <c r="E14" s="361">
        <v>12098.3</v>
      </c>
      <c r="F14" s="362">
        <v>14614</v>
      </c>
      <c r="G14" s="33">
        <f t="shared" si="1"/>
        <v>2515.7000000000007</v>
      </c>
      <c r="H14" s="33">
        <f t="shared" si="0"/>
        <v>120.79383053817479</v>
      </c>
    </row>
    <row r="15" spans="1:8" ht="21.95" customHeight="1">
      <c r="A15" s="9">
        <v>3</v>
      </c>
      <c r="B15" s="16" t="s">
        <v>196</v>
      </c>
      <c r="C15" s="13"/>
      <c r="D15" s="171">
        <v>170.4</v>
      </c>
      <c r="E15" s="363">
        <v>241.4</v>
      </c>
      <c r="F15" s="362">
        <v>228</v>
      </c>
      <c r="G15" s="33">
        <f t="shared" si="1"/>
        <v>-13.400000000000006</v>
      </c>
      <c r="H15" s="33">
        <f t="shared" si="0"/>
        <v>94.449047224523611</v>
      </c>
    </row>
    <row r="16" spans="1:8" ht="21.95" customHeight="1">
      <c r="A16" s="9">
        <v>4</v>
      </c>
      <c r="B16" s="16" t="s">
        <v>152</v>
      </c>
      <c r="C16" s="13"/>
      <c r="D16" s="171">
        <v>0.3</v>
      </c>
      <c r="E16" s="361">
        <v>3</v>
      </c>
      <c r="F16" s="362">
        <v>15.3</v>
      </c>
      <c r="G16" s="33">
        <f t="shared" si="1"/>
        <v>12.3</v>
      </c>
      <c r="H16" s="33">
        <f t="shared" si="0"/>
        <v>510.00000000000006</v>
      </c>
    </row>
    <row r="17" spans="1:8" ht="21.95" customHeight="1">
      <c r="A17" s="9">
        <v>5</v>
      </c>
      <c r="B17" s="16" t="s">
        <v>277</v>
      </c>
      <c r="C17" s="13"/>
      <c r="D17" s="171">
        <v>20</v>
      </c>
      <c r="E17" s="361"/>
      <c r="F17" s="362">
        <v>20</v>
      </c>
      <c r="G17" s="33">
        <f t="shared" si="1"/>
        <v>20</v>
      </c>
      <c r="H17" s="92" t="e">
        <f t="shared" si="0"/>
        <v>#DIV/0!</v>
      </c>
    </row>
    <row r="18" spans="1:8" ht="21.95" customHeight="1">
      <c r="A18" s="9">
        <v>6</v>
      </c>
      <c r="B18" s="16" t="s">
        <v>278</v>
      </c>
      <c r="C18" s="13"/>
      <c r="D18" s="171">
        <v>910.3</v>
      </c>
      <c r="E18" s="361"/>
      <c r="F18" s="362">
        <v>1763.1</v>
      </c>
      <c r="G18" s="33">
        <f t="shared" si="1"/>
        <v>1763.1</v>
      </c>
      <c r="H18" s="92" t="e">
        <f t="shared" si="0"/>
        <v>#DIV/0!</v>
      </c>
    </row>
    <row r="19" spans="1:8" ht="21.95" customHeight="1">
      <c r="A19" s="9">
        <v>7</v>
      </c>
      <c r="B19" s="16" t="s">
        <v>315</v>
      </c>
      <c r="C19" s="13"/>
      <c r="D19" s="171">
        <v>10126</v>
      </c>
      <c r="E19" s="362"/>
      <c r="F19" s="362">
        <v>7819.2</v>
      </c>
      <c r="G19" s="33">
        <f t="shared" si="1"/>
        <v>7819.2</v>
      </c>
      <c r="H19" s="92" t="e">
        <f t="shared" si="0"/>
        <v>#DIV/0!</v>
      </c>
    </row>
    <row r="20" spans="1:8" ht="26.25" customHeight="1">
      <c r="A20" s="328" t="s">
        <v>153</v>
      </c>
      <c r="B20" s="329"/>
      <c r="C20" s="13">
        <v>1130</v>
      </c>
      <c r="D20" s="175">
        <f>D21</f>
        <v>2936.6</v>
      </c>
      <c r="E20" s="360">
        <f>E21</f>
        <v>717</v>
      </c>
      <c r="F20" s="360">
        <f>F21</f>
        <v>2408.1</v>
      </c>
      <c r="G20" s="182">
        <f t="shared" ref="G20:G90" si="4">F20-E20</f>
        <v>1691.1</v>
      </c>
      <c r="H20" s="182">
        <f t="shared" ref="H20:H90" si="5">(F20/E20)*100</f>
        <v>335.85774058577408</v>
      </c>
    </row>
    <row r="21" spans="1:8" ht="39.75" customHeight="1">
      <c r="A21" s="181">
        <v>1</v>
      </c>
      <c r="B21" s="16" t="s">
        <v>294</v>
      </c>
      <c r="C21" s="9"/>
      <c r="D21" s="171">
        <v>2936.6</v>
      </c>
      <c r="E21" s="361">
        <v>717</v>
      </c>
      <c r="F21" s="362">
        <v>2408.1</v>
      </c>
      <c r="G21" s="33">
        <f t="shared" si="4"/>
        <v>1691.1</v>
      </c>
      <c r="H21" s="33">
        <f t="shared" si="5"/>
        <v>335.85774058577408</v>
      </c>
    </row>
    <row r="22" spans="1:8" ht="24.75" customHeight="1">
      <c r="A22" s="317" t="s">
        <v>23</v>
      </c>
      <c r="B22" s="318"/>
      <c r="C22" s="13">
        <v>1150</v>
      </c>
      <c r="D22" s="175">
        <f>D23+D24</f>
        <v>22157.8</v>
      </c>
      <c r="E22" s="360">
        <f t="shared" ref="E22" si="6">E23</f>
        <v>22100</v>
      </c>
      <c r="F22" s="360">
        <f>F23+F24</f>
        <v>23879.599999999999</v>
      </c>
      <c r="G22" s="182">
        <f t="shared" si="4"/>
        <v>1779.5999999999985</v>
      </c>
      <c r="H22" s="182">
        <f t="shared" si="5"/>
        <v>108.05248868778278</v>
      </c>
    </row>
    <row r="23" spans="1:8" ht="39.75" customHeight="1">
      <c r="A23" s="9">
        <v>1</v>
      </c>
      <c r="B23" s="18" t="s">
        <v>107</v>
      </c>
      <c r="C23" s="13"/>
      <c r="D23" s="171">
        <v>22156.799999999999</v>
      </c>
      <c r="E23" s="361">
        <v>22100</v>
      </c>
      <c r="F23" s="362">
        <v>23850.1</v>
      </c>
      <c r="G23" s="33">
        <f t="shared" si="4"/>
        <v>1750.0999999999985</v>
      </c>
      <c r="H23" s="33">
        <f t="shared" si="5"/>
        <v>107.91900452488687</v>
      </c>
    </row>
    <row r="24" spans="1:8" ht="21.75" customHeight="1">
      <c r="A24" s="113" t="s">
        <v>285</v>
      </c>
      <c r="B24" s="18" t="s">
        <v>286</v>
      </c>
      <c r="C24" s="13"/>
      <c r="D24" s="171">
        <v>1</v>
      </c>
      <c r="E24" s="361"/>
      <c r="F24" s="362">
        <v>29.5</v>
      </c>
      <c r="G24" s="33"/>
      <c r="H24" s="33"/>
    </row>
    <row r="25" spans="1:8" ht="22.5" customHeight="1">
      <c r="A25" s="326" t="s">
        <v>69</v>
      </c>
      <c r="B25" s="327"/>
      <c r="C25" s="13"/>
      <c r="D25" s="175"/>
      <c r="E25" s="360"/>
      <c r="F25" s="360"/>
      <c r="G25" s="182"/>
      <c r="H25" s="182"/>
    </row>
    <row r="26" spans="1:8" ht="41.25" customHeight="1">
      <c r="A26" s="320" t="s">
        <v>76</v>
      </c>
      <c r="B26" s="321"/>
      <c r="C26" s="13"/>
      <c r="D26" s="27"/>
      <c r="E26" s="364"/>
      <c r="F26" s="364"/>
      <c r="G26" s="182"/>
      <c r="H26" s="182"/>
    </row>
    <row r="27" spans="1:8" ht="27" customHeight="1">
      <c r="A27" s="317" t="s">
        <v>89</v>
      </c>
      <c r="B27" s="318"/>
      <c r="C27" s="167">
        <v>1011</v>
      </c>
      <c r="D27" s="175">
        <f>SUM(D28:D44)</f>
        <v>81801.399999999994</v>
      </c>
      <c r="E27" s="360">
        <f>SUM(E28:E44)</f>
        <v>88777.4</v>
      </c>
      <c r="F27" s="360">
        <f>SUM(F28:F44)</f>
        <v>93459.10000000002</v>
      </c>
      <c r="G27" s="182">
        <f t="shared" si="4"/>
        <v>4681.7000000000262</v>
      </c>
      <c r="H27" s="182">
        <f t="shared" si="5"/>
        <v>105.2735268210153</v>
      </c>
    </row>
    <row r="28" spans="1:8" ht="36.75" customHeight="1">
      <c r="A28" s="188"/>
      <c r="B28" s="28" t="s">
        <v>183</v>
      </c>
      <c r="C28" s="189"/>
      <c r="D28" s="183">
        <f>9.4+0.6</f>
        <v>10</v>
      </c>
      <c r="E28" s="365">
        <v>18</v>
      </c>
      <c r="F28" s="361">
        <f>78.1+6</f>
        <v>84.1</v>
      </c>
      <c r="G28" s="33">
        <f t="shared" si="4"/>
        <v>66.099999999999994</v>
      </c>
      <c r="H28" s="33">
        <f t="shared" si="5"/>
        <v>467.22222222222217</v>
      </c>
    </row>
    <row r="29" spans="1:8" ht="57" customHeight="1">
      <c r="A29" s="188"/>
      <c r="B29" s="16" t="s">
        <v>236</v>
      </c>
      <c r="C29" s="189"/>
      <c r="D29" s="183">
        <v>603.4</v>
      </c>
      <c r="E29" s="361">
        <v>280</v>
      </c>
      <c r="F29" s="361">
        <f>220.7+0.4+343.9+43.9</f>
        <v>608.9</v>
      </c>
      <c r="G29" s="33">
        <f t="shared" si="4"/>
        <v>328.9</v>
      </c>
      <c r="H29" s="33">
        <f t="shared" si="5"/>
        <v>217.46428571428572</v>
      </c>
    </row>
    <row r="30" spans="1:8" ht="24" customHeight="1">
      <c r="A30" s="188"/>
      <c r="B30" s="16" t="s">
        <v>109</v>
      </c>
      <c r="C30" s="189"/>
      <c r="D30" s="183">
        <f>248.3</f>
        <v>248.3</v>
      </c>
      <c r="E30" s="361"/>
      <c r="F30" s="361">
        <v>204.6</v>
      </c>
      <c r="G30" s="33">
        <f t="shared" si="4"/>
        <v>204.6</v>
      </c>
      <c r="H30" s="92" t="e">
        <f t="shared" si="5"/>
        <v>#DIV/0!</v>
      </c>
    </row>
    <row r="31" spans="1:8" ht="21" customHeight="1">
      <c r="A31" s="188"/>
      <c r="B31" s="16" t="s">
        <v>224</v>
      </c>
      <c r="C31" s="189"/>
      <c r="D31" s="183">
        <f>279.4</f>
        <v>279.39999999999998</v>
      </c>
      <c r="E31" s="361">
        <v>375</v>
      </c>
      <c r="F31" s="361">
        <f>136.1+175.9</f>
        <v>312</v>
      </c>
      <c r="G31" s="33">
        <f t="shared" si="4"/>
        <v>-63</v>
      </c>
      <c r="H31" s="92">
        <f t="shared" si="5"/>
        <v>83.2</v>
      </c>
    </row>
    <row r="32" spans="1:8" ht="21.75" customHeight="1">
      <c r="A32" s="188"/>
      <c r="B32" s="16" t="s">
        <v>137</v>
      </c>
      <c r="C32" s="189"/>
      <c r="D32" s="183">
        <f>148+100.9</f>
        <v>248.9</v>
      </c>
      <c r="E32" s="366">
        <v>190</v>
      </c>
      <c r="F32" s="361">
        <f>70.4</f>
        <v>70.400000000000006</v>
      </c>
      <c r="G32" s="33">
        <f t="shared" si="4"/>
        <v>-119.6</v>
      </c>
      <c r="H32" s="33">
        <f t="shared" si="5"/>
        <v>37.05263157894737</v>
      </c>
    </row>
    <row r="33" spans="1:13" ht="20.25" customHeight="1">
      <c r="A33" s="188"/>
      <c r="B33" s="16" t="s">
        <v>110</v>
      </c>
      <c r="C33" s="189"/>
      <c r="D33" s="183">
        <f>16</f>
        <v>16</v>
      </c>
      <c r="E33" s="361">
        <v>20</v>
      </c>
      <c r="F33" s="361">
        <f>13.8+3.5</f>
        <v>17.3</v>
      </c>
      <c r="G33" s="33">
        <f t="shared" si="4"/>
        <v>-2.6999999999999993</v>
      </c>
      <c r="H33" s="33">
        <f t="shared" si="5"/>
        <v>86.5</v>
      </c>
    </row>
    <row r="34" spans="1:13" ht="21" customHeight="1">
      <c r="A34" s="188"/>
      <c r="B34" s="16" t="s">
        <v>138</v>
      </c>
      <c r="C34" s="189"/>
      <c r="D34" s="183">
        <f>78.5</f>
        <v>78.5</v>
      </c>
      <c r="E34" s="361"/>
      <c r="F34" s="361">
        <v>194.3</v>
      </c>
      <c r="G34" s="33">
        <f t="shared" si="4"/>
        <v>194.3</v>
      </c>
      <c r="H34" s="92" t="e">
        <f t="shared" si="5"/>
        <v>#DIV/0!</v>
      </c>
    </row>
    <row r="35" spans="1:13" ht="20.25" customHeight="1">
      <c r="A35" s="188"/>
      <c r="B35" s="16" t="s">
        <v>139</v>
      </c>
      <c r="C35" s="189"/>
      <c r="D35" s="183">
        <f>2.2+197.4+39.2+100</f>
        <v>338.8</v>
      </c>
      <c r="E35" s="361">
        <v>5.5</v>
      </c>
      <c r="F35" s="361">
        <f>99+171.5</f>
        <v>270.5</v>
      </c>
      <c r="G35" s="33">
        <f t="shared" si="4"/>
        <v>265</v>
      </c>
      <c r="H35" s="33">
        <f t="shared" si="5"/>
        <v>4918.181818181818</v>
      </c>
    </row>
    <row r="36" spans="1:13" ht="36.75" customHeight="1">
      <c r="A36" s="188"/>
      <c r="B36" s="16" t="s">
        <v>237</v>
      </c>
      <c r="C36" s="9"/>
      <c r="D36" s="183">
        <f>465.9+1033.9+25.4</f>
        <v>1525.2000000000003</v>
      </c>
      <c r="E36" s="361">
        <v>500</v>
      </c>
      <c r="F36" s="361">
        <f>474.5+550.9</f>
        <v>1025.4000000000001</v>
      </c>
      <c r="G36" s="33">
        <f t="shared" si="4"/>
        <v>525.40000000000009</v>
      </c>
      <c r="H36" s="33">
        <f t="shared" si="5"/>
        <v>205.08</v>
      </c>
    </row>
    <row r="37" spans="1:13" ht="20.25" customHeight="1">
      <c r="A37" s="188"/>
      <c r="B37" s="16" t="s">
        <v>141</v>
      </c>
      <c r="C37" s="189"/>
      <c r="D37" s="183">
        <f>14.6+155.5</f>
        <v>170.1</v>
      </c>
      <c r="E37" s="361">
        <v>15</v>
      </c>
      <c r="F37" s="361">
        <v>553.6</v>
      </c>
      <c r="G37" s="33">
        <f t="shared" si="4"/>
        <v>538.6</v>
      </c>
      <c r="H37" s="92">
        <f t="shared" si="5"/>
        <v>3690.6666666666665</v>
      </c>
    </row>
    <row r="38" spans="1:13" ht="21" customHeight="1">
      <c r="A38" s="188"/>
      <c r="B38" s="16" t="s">
        <v>108</v>
      </c>
      <c r="C38" s="189"/>
      <c r="D38" s="183">
        <v>64770.6</v>
      </c>
      <c r="E38" s="366">
        <v>74185</v>
      </c>
      <c r="F38" s="361">
        <f>65478.7+2.5+723.6+151.2+5808+1492.8+22.2</f>
        <v>73679</v>
      </c>
      <c r="G38" s="33">
        <f t="shared" si="4"/>
        <v>-506</v>
      </c>
      <c r="H38" s="33">
        <f t="shared" si="5"/>
        <v>99.317921412684512</v>
      </c>
      <c r="L38" s="387">
        <f>E40+E41+E42+E43+E44+E92+E93+E94+E95</f>
        <v>11270.599999999999</v>
      </c>
      <c r="M38" s="387">
        <f>F40+F41+F42+F43+F44+F92+F93+F94+F95</f>
        <v>13763.5</v>
      </c>
    </row>
    <row r="39" spans="1:13" ht="21" customHeight="1">
      <c r="A39" s="188"/>
      <c r="B39" s="16" t="s">
        <v>129</v>
      </c>
      <c r="C39" s="189"/>
      <c r="D39" s="183">
        <f>1835.8+1278.3</f>
        <v>3114.1</v>
      </c>
      <c r="E39" s="361">
        <v>2050</v>
      </c>
      <c r="F39" s="361">
        <f>2330.6+528.5</f>
        <v>2859.1</v>
      </c>
      <c r="G39" s="33">
        <f t="shared" si="4"/>
        <v>809.09999999999991</v>
      </c>
      <c r="H39" s="33">
        <f t="shared" si="5"/>
        <v>139.46829268292683</v>
      </c>
    </row>
    <row r="40" spans="1:13" ht="20.25" customHeight="1">
      <c r="A40" s="188"/>
      <c r="B40" s="16" t="s">
        <v>131</v>
      </c>
      <c r="C40" s="189"/>
      <c r="D40" s="183">
        <v>148.19999999999999</v>
      </c>
      <c r="E40" s="361">
        <v>197.5</v>
      </c>
      <c r="F40" s="361">
        <v>16.7</v>
      </c>
      <c r="G40" s="33">
        <f t="shared" si="4"/>
        <v>-180.8</v>
      </c>
      <c r="H40" s="33">
        <f t="shared" si="5"/>
        <v>8.4556962025316462</v>
      </c>
    </row>
    <row r="41" spans="1:13" ht="21" customHeight="1">
      <c r="A41" s="188"/>
      <c r="B41" s="16" t="s">
        <v>122</v>
      </c>
      <c r="C41" s="189"/>
      <c r="D41" s="183">
        <f>9.4+4158.1+6.4</f>
        <v>4173.8999999999996</v>
      </c>
      <c r="E41" s="361">
        <v>4331.2</v>
      </c>
      <c r="F41" s="361">
        <f>6+4754.3+7.9</f>
        <v>4768.2</v>
      </c>
      <c r="G41" s="33">
        <f t="shared" si="4"/>
        <v>437</v>
      </c>
      <c r="H41" s="33">
        <f t="shared" si="5"/>
        <v>110.08958256372368</v>
      </c>
    </row>
    <row r="42" spans="1:13" ht="20.25" customHeight="1">
      <c r="A42" s="188"/>
      <c r="B42" s="18" t="s">
        <v>123</v>
      </c>
      <c r="C42" s="189"/>
      <c r="D42" s="183">
        <f>0.6+351.4+1.5</f>
        <v>353.5</v>
      </c>
      <c r="E42" s="361">
        <v>341.2</v>
      </c>
      <c r="F42" s="361">
        <f>0.4+449.8+2.9</f>
        <v>453.09999999999997</v>
      </c>
      <c r="G42" s="33">
        <f t="shared" si="4"/>
        <v>111.89999999999998</v>
      </c>
      <c r="H42" s="33">
        <f t="shared" si="5"/>
        <v>132.79601406799532</v>
      </c>
    </row>
    <row r="43" spans="1:13" ht="21" customHeight="1">
      <c r="A43" s="188"/>
      <c r="B43" s="16" t="s">
        <v>124</v>
      </c>
      <c r="C43" s="189"/>
      <c r="D43" s="183">
        <f>7+5305.7+161.6</f>
        <v>5474.3</v>
      </c>
      <c r="E43" s="361">
        <v>6025.2</v>
      </c>
      <c r="F43" s="361">
        <f>4.3+7874.6+262.2</f>
        <v>8141.1</v>
      </c>
      <c r="G43" s="33">
        <f t="shared" si="4"/>
        <v>2115.9000000000005</v>
      </c>
      <c r="H43" s="33">
        <f t="shared" si="5"/>
        <v>135.1175064728142</v>
      </c>
    </row>
    <row r="44" spans="1:13" ht="20.25" customHeight="1">
      <c r="A44" s="188"/>
      <c r="B44" s="16" t="s">
        <v>125</v>
      </c>
      <c r="C44" s="189"/>
      <c r="D44" s="183">
        <f>0.3+247.3+0.6</f>
        <v>248.20000000000002</v>
      </c>
      <c r="E44" s="361">
        <v>243.8</v>
      </c>
      <c r="F44" s="361">
        <f>0.2+200.1+0.5</f>
        <v>200.79999999999998</v>
      </c>
      <c r="G44" s="33">
        <f t="shared" si="4"/>
        <v>-43.000000000000028</v>
      </c>
      <c r="H44" s="33">
        <f t="shared" si="5"/>
        <v>82.362592288761277</v>
      </c>
    </row>
    <row r="45" spans="1:13" ht="24.75" customHeight="1">
      <c r="A45" s="317" t="s">
        <v>194</v>
      </c>
      <c r="B45" s="318"/>
      <c r="C45" s="190">
        <v>1015</v>
      </c>
      <c r="D45" s="175">
        <f>SUM(D46:D80)</f>
        <v>3011.1</v>
      </c>
      <c r="E45" s="360">
        <f>SUM(E46:E80)</f>
        <v>3555.3999999999996</v>
      </c>
      <c r="F45" s="360">
        <f>SUM(F46:F79)</f>
        <v>2674.7000000000003</v>
      </c>
      <c r="G45" s="182">
        <f t="shared" si="4"/>
        <v>-880.69999999999936</v>
      </c>
      <c r="H45" s="182">
        <f t="shared" si="5"/>
        <v>75.229228778759079</v>
      </c>
    </row>
    <row r="46" spans="1:13" ht="40.5" customHeight="1">
      <c r="A46" s="188"/>
      <c r="B46" s="28" t="s">
        <v>188</v>
      </c>
      <c r="C46" s="9"/>
      <c r="D46" s="171">
        <f>66.1</f>
        <v>66.099999999999994</v>
      </c>
      <c r="E46" s="361">
        <v>80</v>
      </c>
      <c r="F46" s="362">
        <f>65.1</f>
        <v>65.099999999999994</v>
      </c>
      <c r="G46" s="33">
        <f t="shared" si="4"/>
        <v>-14.900000000000006</v>
      </c>
      <c r="H46" s="33">
        <f t="shared" si="5"/>
        <v>81.375</v>
      </c>
    </row>
    <row r="47" spans="1:13" ht="54" customHeight="1">
      <c r="A47" s="188"/>
      <c r="B47" s="31" t="s">
        <v>112</v>
      </c>
      <c r="C47" s="9"/>
      <c r="D47" s="171">
        <f>12.4</f>
        <v>12.4</v>
      </c>
      <c r="E47" s="361">
        <v>12.5</v>
      </c>
      <c r="F47" s="362">
        <f>22.2</f>
        <v>22.2</v>
      </c>
      <c r="G47" s="33">
        <f t="shared" si="4"/>
        <v>9.6999999999999993</v>
      </c>
      <c r="H47" s="33">
        <f t="shared" si="5"/>
        <v>177.6</v>
      </c>
    </row>
    <row r="48" spans="1:13" ht="22.5" customHeight="1">
      <c r="A48" s="188"/>
      <c r="B48" s="31" t="s">
        <v>127</v>
      </c>
      <c r="C48" s="189"/>
      <c r="D48" s="171"/>
      <c r="E48" s="361">
        <v>340</v>
      </c>
      <c r="F48" s="362"/>
      <c r="G48" s="33">
        <f t="shared" si="4"/>
        <v>-340</v>
      </c>
      <c r="H48" s="33">
        <f t="shared" si="5"/>
        <v>0</v>
      </c>
    </row>
    <row r="49" spans="1:8" ht="34.5" customHeight="1">
      <c r="A49" s="188"/>
      <c r="B49" s="16" t="s">
        <v>260</v>
      </c>
      <c r="C49" s="189"/>
      <c r="D49" s="171">
        <f>77.1</f>
        <v>77.099999999999994</v>
      </c>
      <c r="E49" s="365">
        <v>470</v>
      </c>
      <c r="F49" s="362"/>
      <c r="G49" s="33">
        <f t="shared" si="4"/>
        <v>-470</v>
      </c>
      <c r="H49" s="33">
        <f t="shared" si="5"/>
        <v>0</v>
      </c>
    </row>
    <row r="50" spans="1:8" ht="20.25" customHeight="1">
      <c r="A50" s="188"/>
      <c r="B50" s="31" t="s">
        <v>114</v>
      </c>
      <c r="C50" s="189"/>
      <c r="D50" s="171">
        <f>33.5</f>
        <v>33.5</v>
      </c>
      <c r="E50" s="365">
        <v>35</v>
      </c>
      <c r="F50" s="362">
        <f>32.2</f>
        <v>32.200000000000003</v>
      </c>
      <c r="G50" s="33">
        <f t="shared" si="4"/>
        <v>-2.7999999999999972</v>
      </c>
      <c r="H50" s="33">
        <f t="shared" si="5"/>
        <v>92</v>
      </c>
    </row>
    <row r="51" spans="1:8" ht="20.25" customHeight="1">
      <c r="A51" s="188"/>
      <c r="B51" s="31" t="s">
        <v>115</v>
      </c>
      <c r="C51" s="189"/>
      <c r="D51" s="171">
        <f>10.8</f>
        <v>10.8</v>
      </c>
      <c r="E51" s="365">
        <v>12</v>
      </c>
      <c r="F51" s="362">
        <f>2.8</f>
        <v>2.8</v>
      </c>
      <c r="G51" s="33">
        <f t="shared" si="4"/>
        <v>-9.1999999999999993</v>
      </c>
      <c r="H51" s="33">
        <f t="shared" si="5"/>
        <v>23.333333333333332</v>
      </c>
    </row>
    <row r="52" spans="1:8" ht="18.75" customHeight="1">
      <c r="A52" s="191"/>
      <c r="B52" s="31" t="s">
        <v>244</v>
      </c>
      <c r="C52" s="181"/>
      <c r="D52" s="171">
        <f>363.5+38.9</f>
        <v>402.4</v>
      </c>
      <c r="E52" s="361">
        <v>400</v>
      </c>
      <c r="F52" s="362">
        <f>273.6+195.2+43.8</f>
        <v>512.6</v>
      </c>
      <c r="G52" s="33">
        <f t="shared" si="4"/>
        <v>112.60000000000002</v>
      </c>
      <c r="H52" s="33">
        <f t="shared" si="5"/>
        <v>128.15</v>
      </c>
    </row>
    <row r="53" spans="1:8" ht="18" customHeight="1">
      <c r="A53" s="191"/>
      <c r="B53" s="31" t="s">
        <v>116</v>
      </c>
      <c r="C53" s="181"/>
      <c r="D53" s="171">
        <f>57.6</f>
        <v>57.6</v>
      </c>
      <c r="E53" s="361">
        <v>58.5</v>
      </c>
      <c r="F53" s="362">
        <f>111.9</f>
        <v>111.9</v>
      </c>
      <c r="G53" s="33">
        <f t="shared" si="4"/>
        <v>53.400000000000006</v>
      </c>
      <c r="H53" s="33">
        <f t="shared" si="5"/>
        <v>191.2820512820513</v>
      </c>
    </row>
    <row r="54" spans="1:8" ht="18" customHeight="1">
      <c r="A54" s="188"/>
      <c r="B54" s="31" t="s">
        <v>117</v>
      </c>
      <c r="C54" s="189"/>
      <c r="D54" s="171">
        <f>34.8</f>
        <v>34.799999999999997</v>
      </c>
      <c r="E54" s="365">
        <v>35.1</v>
      </c>
      <c r="F54" s="362">
        <f>50.9</f>
        <v>50.9</v>
      </c>
      <c r="G54" s="33">
        <f t="shared" si="4"/>
        <v>15.799999999999997</v>
      </c>
      <c r="H54" s="33">
        <f t="shared" si="5"/>
        <v>145.01424501424501</v>
      </c>
    </row>
    <row r="55" spans="1:8" ht="18" customHeight="1">
      <c r="A55" s="188"/>
      <c r="B55" s="31" t="s">
        <v>118</v>
      </c>
      <c r="C55" s="189"/>
      <c r="D55" s="171"/>
      <c r="E55" s="365">
        <v>3</v>
      </c>
      <c r="F55" s="362">
        <v>3.9</v>
      </c>
      <c r="G55" s="33">
        <f t="shared" si="4"/>
        <v>0.89999999999999991</v>
      </c>
      <c r="H55" s="92">
        <f t="shared" si="5"/>
        <v>130</v>
      </c>
    </row>
    <row r="56" spans="1:8" ht="18" customHeight="1">
      <c r="A56" s="188"/>
      <c r="B56" s="31" t="s">
        <v>119</v>
      </c>
      <c r="C56" s="189"/>
      <c r="D56" s="171">
        <f>50.7</f>
        <v>50.7</v>
      </c>
      <c r="E56" s="365">
        <v>52</v>
      </c>
      <c r="F56" s="362">
        <f>73.8</f>
        <v>73.8</v>
      </c>
      <c r="G56" s="33">
        <f t="shared" si="4"/>
        <v>21.799999999999997</v>
      </c>
      <c r="H56" s="33">
        <f t="shared" si="5"/>
        <v>141.92307692307691</v>
      </c>
    </row>
    <row r="57" spans="1:8" ht="18" customHeight="1">
      <c r="A57" s="188"/>
      <c r="B57" s="31" t="s">
        <v>214</v>
      </c>
      <c r="C57" s="189"/>
      <c r="D57" s="171">
        <f>15.3</f>
        <v>15.3</v>
      </c>
      <c r="E57" s="365"/>
      <c r="F57" s="362"/>
      <c r="G57" s="33">
        <f t="shared" si="4"/>
        <v>0</v>
      </c>
      <c r="H57" s="33" t="e">
        <f t="shared" si="5"/>
        <v>#DIV/0!</v>
      </c>
    </row>
    <row r="58" spans="1:8" ht="18" customHeight="1">
      <c r="A58" s="188"/>
      <c r="B58" s="31" t="s">
        <v>120</v>
      </c>
      <c r="C58" s="189"/>
      <c r="D58" s="171">
        <f>53.9+31.6</f>
        <v>85.5</v>
      </c>
      <c r="E58" s="365">
        <v>54</v>
      </c>
      <c r="F58" s="362">
        <f>31.3+3.5</f>
        <v>34.799999999999997</v>
      </c>
      <c r="G58" s="33">
        <f t="shared" si="4"/>
        <v>-19.200000000000003</v>
      </c>
      <c r="H58" s="33">
        <f t="shared" si="5"/>
        <v>64.444444444444443</v>
      </c>
    </row>
    <row r="59" spans="1:8" ht="18" customHeight="1">
      <c r="A59" s="188"/>
      <c r="B59" s="31" t="s">
        <v>121</v>
      </c>
      <c r="C59" s="189"/>
      <c r="D59" s="171">
        <f>19.6</f>
        <v>19.600000000000001</v>
      </c>
      <c r="E59" s="362">
        <v>26</v>
      </c>
      <c r="F59" s="362">
        <f>11.3</f>
        <v>11.3</v>
      </c>
      <c r="G59" s="33">
        <f t="shared" si="4"/>
        <v>-14.7</v>
      </c>
      <c r="H59" s="33">
        <f t="shared" si="5"/>
        <v>43.46153846153846</v>
      </c>
    </row>
    <row r="60" spans="1:8" ht="18" customHeight="1">
      <c r="A60" s="188"/>
      <c r="B60" s="31" t="s">
        <v>316</v>
      </c>
      <c r="C60" s="189"/>
      <c r="D60" s="171">
        <f>32.1</f>
        <v>32.1</v>
      </c>
      <c r="E60" s="362">
        <v>15</v>
      </c>
      <c r="F60" s="362">
        <f>31.5</f>
        <v>31.5</v>
      </c>
      <c r="G60" s="33">
        <f t="shared" si="4"/>
        <v>16.5</v>
      </c>
      <c r="H60" s="33">
        <f t="shared" si="5"/>
        <v>210</v>
      </c>
    </row>
    <row r="61" spans="1:8" ht="62.25" customHeight="1">
      <c r="A61" s="188"/>
      <c r="B61" s="31" t="s">
        <v>297</v>
      </c>
      <c r="C61" s="189"/>
      <c r="D61" s="171"/>
      <c r="E61" s="362"/>
      <c r="F61" s="362">
        <f>387.4</f>
        <v>387.4</v>
      </c>
      <c r="G61" s="33"/>
      <c r="H61" s="33"/>
    </row>
    <row r="62" spans="1:8" ht="54.75" customHeight="1">
      <c r="A62" s="191"/>
      <c r="B62" s="192" t="s">
        <v>142</v>
      </c>
      <c r="C62" s="181"/>
      <c r="D62" s="171">
        <v>472.1</v>
      </c>
      <c r="E62" s="362">
        <v>490</v>
      </c>
      <c r="F62" s="362">
        <f>440</f>
        <v>440</v>
      </c>
      <c r="G62" s="33">
        <f t="shared" si="4"/>
        <v>-50</v>
      </c>
      <c r="H62" s="33">
        <f t="shared" si="5"/>
        <v>89.795918367346943</v>
      </c>
    </row>
    <row r="63" spans="1:8" ht="19.5" customHeight="1">
      <c r="A63" s="188"/>
      <c r="B63" s="31" t="s">
        <v>345</v>
      </c>
      <c r="C63" s="181"/>
      <c r="D63" s="171"/>
      <c r="E63" s="362">
        <v>0.2</v>
      </c>
      <c r="F63" s="362"/>
      <c r="G63" s="33"/>
      <c r="H63" s="33"/>
    </row>
    <row r="64" spans="1:8" ht="112.5" customHeight="1">
      <c r="A64" s="188"/>
      <c r="B64" s="16" t="s">
        <v>288</v>
      </c>
      <c r="C64" s="181"/>
      <c r="D64" s="171">
        <v>301.8</v>
      </c>
      <c r="E64" s="362">
        <v>250</v>
      </c>
      <c r="F64" s="362"/>
      <c r="G64" s="33"/>
      <c r="H64" s="33"/>
    </row>
    <row r="65" spans="1:8" ht="18.75" customHeight="1">
      <c r="A65" s="188"/>
      <c r="B65" s="31" t="s">
        <v>155</v>
      </c>
      <c r="C65" s="189"/>
      <c r="D65" s="171">
        <f>19+3.2</f>
        <v>22.2</v>
      </c>
      <c r="E65" s="365">
        <v>7.5</v>
      </c>
      <c r="F65" s="362">
        <v>7.8</v>
      </c>
      <c r="G65" s="33">
        <f t="shared" si="4"/>
        <v>0.29999999999999982</v>
      </c>
      <c r="H65" s="33">
        <f t="shared" si="5"/>
        <v>104</v>
      </c>
    </row>
    <row r="66" spans="1:8" ht="19.5" customHeight="1">
      <c r="A66" s="188"/>
      <c r="B66" s="31" t="s">
        <v>143</v>
      </c>
      <c r="C66" s="189"/>
      <c r="D66" s="171">
        <f>0.5</f>
        <v>0.5</v>
      </c>
      <c r="E66" s="365">
        <v>0.9</v>
      </c>
      <c r="F66" s="362"/>
      <c r="G66" s="33">
        <f t="shared" si="4"/>
        <v>-0.9</v>
      </c>
      <c r="H66" s="33">
        <f t="shared" si="5"/>
        <v>0</v>
      </c>
    </row>
    <row r="67" spans="1:8" ht="19.5" customHeight="1">
      <c r="A67" s="188"/>
      <c r="B67" s="31" t="s">
        <v>208</v>
      </c>
      <c r="C67" s="189"/>
      <c r="D67" s="171">
        <f>81+1.8</f>
        <v>82.8</v>
      </c>
      <c r="E67" s="365">
        <v>83</v>
      </c>
      <c r="F67" s="362">
        <v>89.2</v>
      </c>
      <c r="G67" s="33">
        <f t="shared" si="4"/>
        <v>6.2000000000000028</v>
      </c>
      <c r="H67" s="33">
        <f t="shared" si="5"/>
        <v>107.4698795180723</v>
      </c>
    </row>
    <row r="68" spans="1:8" ht="73.5" customHeight="1">
      <c r="A68" s="188"/>
      <c r="B68" s="16" t="s">
        <v>295</v>
      </c>
      <c r="C68" s="189"/>
      <c r="D68" s="171"/>
      <c r="E68" s="365"/>
      <c r="F68" s="362">
        <f>183.4+20.1</f>
        <v>203.5</v>
      </c>
      <c r="G68" s="33"/>
      <c r="H68" s="33"/>
    </row>
    <row r="69" spans="1:8" ht="20.25" customHeight="1">
      <c r="A69" s="188"/>
      <c r="B69" s="31" t="s">
        <v>156</v>
      </c>
      <c r="C69" s="193"/>
      <c r="D69" s="171">
        <f>432.9</f>
        <v>432.9</v>
      </c>
      <c r="E69" s="361">
        <v>460</v>
      </c>
      <c r="F69" s="362">
        <v>383.4</v>
      </c>
      <c r="G69" s="33">
        <f t="shared" si="4"/>
        <v>-76.600000000000023</v>
      </c>
      <c r="H69" s="33">
        <f t="shared" si="5"/>
        <v>83.347826086956516</v>
      </c>
    </row>
    <row r="70" spans="1:8" ht="57" customHeight="1">
      <c r="A70" s="188"/>
      <c r="B70" s="31" t="s">
        <v>207</v>
      </c>
      <c r="C70" s="193"/>
      <c r="D70" s="171">
        <v>5.4</v>
      </c>
      <c r="E70" s="361">
        <v>4.5</v>
      </c>
      <c r="F70" s="362">
        <v>17.5</v>
      </c>
      <c r="G70" s="33">
        <f t="shared" si="4"/>
        <v>13</v>
      </c>
      <c r="H70" s="33">
        <f t="shared" si="5"/>
        <v>388.88888888888886</v>
      </c>
    </row>
    <row r="71" spans="1:8" ht="36" customHeight="1">
      <c r="A71" s="188"/>
      <c r="B71" s="31" t="s">
        <v>126</v>
      </c>
      <c r="C71" s="193"/>
      <c r="D71" s="171"/>
      <c r="E71" s="361">
        <v>12</v>
      </c>
      <c r="F71" s="362">
        <f>4.8</f>
        <v>4.8</v>
      </c>
      <c r="G71" s="33">
        <f t="shared" si="4"/>
        <v>-7.2</v>
      </c>
      <c r="H71" s="33">
        <f t="shared" si="5"/>
        <v>40</v>
      </c>
    </row>
    <row r="72" spans="1:8" ht="18.75" customHeight="1">
      <c r="A72" s="188"/>
      <c r="B72" s="31" t="s">
        <v>287</v>
      </c>
      <c r="C72" s="193"/>
      <c r="D72" s="171">
        <v>33.4</v>
      </c>
      <c r="E72" s="361">
        <v>35</v>
      </c>
      <c r="F72" s="362">
        <v>57.4</v>
      </c>
      <c r="G72" s="33">
        <f t="shared" si="4"/>
        <v>22.4</v>
      </c>
      <c r="H72" s="33">
        <f t="shared" si="5"/>
        <v>164</v>
      </c>
    </row>
    <row r="73" spans="1:8" ht="18.75" customHeight="1">
      <c r="A73" s="188"/>
      <c r="B73" s="249" t="s">
        <v>386</v>
      </c>
      <c r="C73" s="193"/>
      <c r="D73" s="171"/>
      <c r="E73" s="361">
        <v>166.7</v>
      </c>
      <c r="F73" s="362"/>
      <c r="G73" s="33"/>
      <c r="H73" s="33"/>
    </row>
    <row r="74" spans="1:8" ht="36" customHeight="1">
      <c r="A74" s="188"/>
      <c r="B74" s="16" t="s">
        <v>317</v>
      </c>
      <c r="C74" s="193"/>
      <c r="D74" s="171">
        <v>49.1</v>
      </c>
      <c r="E74" s="362"/>
      <c r="F74" s="362">
        <v>6.9</v>
      </c>
      <c r="G74" s="33">
        <f t="shared" si="4"/>
        <v>6.9</v>
      </c>
      <c r="H74" s="92" t="e">
        <f t="shared" si="5"/>
        <v>#DIV/0!</v>
      </c>
    </row>
    <row r="75" spans="1:8" ht="18" customHeight="1">
      <c r="A75" s="188"/>
      <c r="B75" s="239" t="s">
        <v>360</v>
      </c>
      <c r="C75" s="193"/>
      <c r="D75" s="171">
        <v>194</v>
      </c>
      <c r="E75" s="362"/>
      <c r="F75" s="362">
        <v>122.9</v>
      </c>
      <c r="G75" s="33"/>
      <c r="H75" s="92"/>
    </row>
    <row r="76" spans="1:8" ht="55.5" customHeight="1">
      <c r="A76" s="188"/>
      <c r="B76" s="16" t="s">
        <v>239</v>
      </c>
      <c r="C76" s="193"/>
      <c r="D76" s="171">
        <v>2.1</v>
      </c>
      <c r="E76" s="361">
        <v>2.5</v>
      </c>
      <c r="F76" s="362">
        <v>0.9</v>
      </c>
      <c r="G76" s="33">
        <f t="shared" si="4"/>
        <v>-1.6</v>
      </c>
      <c r="H76" s="33">
        <f t="shared" si="5"/>
        <v>36</v>
      </c>
    </row>
    <row r="77" spans="1:8" ht="55.5" customHeight="1">
      <c r="A77" s="188"/>
      <c r="B77" s="240" t="s">
        <v>361</v>
      </c>
      <c r="C77" s="193"/>
      <c r="D77" s="171">
        <v>75.5</v>
      </c>
      <c r="E77" s="361"/>
      <c r="F77" s="362"/>
      <c r="G77" s="33"/>
      <c r="H77" s="33"/>
    </row>
    <row r="78" spans="1:8" ht="34.5" customHeight="1">
      <c r="A78" s="191"/>
      <c r="B78" s="133" t="s">
        <v>249</v>
      </c>
      <c r="C78" s="193"/>
      <c r="D78" s="171">
        <v>297</v>
      </c>
      <c r="E78" s="361">
        <v>450</v>
      </c>
      <c r="F78" s="362"/>
      <c r="G78" s="33">
        <f t="shared" si="4"/>
        <v>-450</v>
      </c>
      <c r="H78" s="33">
        <f t="shared" si="5"/>
        <v>0</v>
      </c>
    </row>
    <row r="79" spans="1:8" ht="20.25" customHeight="1">
      <c r="A79" s="188"/>
      <c r="B79" s="216" t="s">
        <v>318</v>
      </c>
      <c r="C79" s="193"/>
      <c r="D79" s="171"/>
      <c r="E79" s="361"/>
      <c r="F79" s="362"/>
      <c r="G79" s="33"/>
      <c r="H79" s="33"/>
    </row>
    <row r="80" spans="1:8" ht="20.25" customHeight="1">
      <c r="A80" s="31"/>
      <c r="B80" s="31" t="s">
        <v>319</v>
      </c>
      <c r="C80" s="193"/>
      <c r="D80" s="171">
        <v>144.4</v>
      </c>
      <c r="E80" s="361"/>
      <c r="F80" s="362"/>
      <c r="G80" s="33"/>
      <c r="H80" s="33"/>
    </row>
    <row r="81" spans="1:8" ht="21" customHeight="1">
      <c r="A81" s="320" t="s">
        <v>77</v>
      </c>
      <c r="B81" s="321"/>
      <c r="C81" s="21"/>
      <c r="D81" s="175"/>
      <c r="E81" s="360"/>
      <c r="F81" s="360"/>
      <c r="G81" s="182"/>
      <c r="H81" s="182"/>
    </row>
    <row r="82" spans="1:8" ht="19.5" customHeight="1">
      <c r="A82" s="317" t="s">
        <v>89</v>
      </c>
      <c r="B82" s="318"/>
      <c r="C82" s="13">
        <v>1021</v>
      </c>
      <c r="D82" s="176">
        <f>SUM(D83:D85)</f>
        <v>85</v>
      </c>
      <c r="E82" s="367">
        <f>SUM(E83:E85)</f>
        <v>110</v>
      </c>
      <c r="F82" s="367">
        <f>SUM(F83:F85)</f>
        <v>42.1</v>
      </c>
      <c r="G82" s="182">
        <f t="shared" si="4"/>
        <v>-67.900000000000006</v>
      </c>
      <c r="H82" s="182">
        <f t="shared" si="5"/>
        <v>38.272727272727273</v>
      </c>
    </row>
    <row r="83" spans="1:8" ht="20.25" customHeight="1">
      <c r="A83" s="166"/>
      <c r="B83" s="31" t="s">
        <v>137</v>
      </c>
      <c r="C83" s="13"/>
      <c r="D83" s="171">
        <v>85</v>
      </c>
      <c r="E83" s="362">
        <v>90</v>
      </c>
      <c r="F83" s="362">
        <v>42.1</v>
      </c>
      <c r="G83" s="33">
        <f t="shared" si="4"/>
        <v>-47.9</v>
      </c>
      <c r="H83" s="33">
        <f t="shared" si="5"/>
        <v>46.777777777777779</v>
      </c>
    </row>
    <row r="84" spans="1:8" ht="22.5" customHeight="1">
      <c r="A84" s="166"/>
      <c r="B84" s="31" t="s">
        <v>111</v>
      </c>
      <c r="C84" s="13"/>
      <c r="D84" s="171"/>
      <c r="E84" s="365">
        <v>7</v>
      </c>
      <c r="F84" s="362"/>
      <c r="G84" s="33">
        <f t="shared" si="4"/>
        <v>-7</v>
      </c>
      <c r="H84" s="33">
        <f t="shared" si="5"/>
        <v>0</v>
      </c>
    </row>
    <row r="85" spans="1:8" ht="21.75" customHeight="1">
      <c r="A85" s="194"/>
      <c r="B85" s="31" t="s">
        <v>140</v>
      </c>
      <c r="C85" s="9"/>
      <c r="D85" s="171"/>
      <c r="E85" s="365">
        <v>13</v>
      </c>
      <c r="F85" s="362"/>
      <c r="G85" s="33">
        <f t="shared" si="4"/>
        <v>-13</v>
      </c>
      <c r="H85" s="33">
        <f t="shared" si="5"/>
        <v>0</v>
      </c>
    </row>
    <row r="86" spans="1:8" ht="21.75" customHeight="1">
      <c r="A86" s="317" t="s">
        <v>192</v>
      </c>
      <c r="B86" s="318"/>
      <c r="C86" s="13">
        <v>1025</v>
      </c>
      <c r="D86" s="176">
        <f>SUM(D87:D99)</f>
        <v>626.40000000000009</v>
      </c>
      <c r="E86" s="367">
        <f>SUM(E87:E100)</f>
        <v>1232</v>
      </c>
      <c r="F86" s="367">
        <f>SUM(F87:F98)</f>
        <v>965.69999999999993</v>
      </c>
      <c r="G86" s="182">
        <f t="shared" si="4"/>
        <v>-266.30000000000007</v>
      </c>
      <c r="H86" s="182">
        <f t="shared" si="5"/>
        <v>78.384740259740255</v>
      </c>
    </row>
    <row r="87" spans="1:8" ht="18" customHeight="1">
      <c r="A87" s="166"/>
      <c r="B87" s="31" t="s">
        <v>113</v>
      </c>
      <c r="C87" s="13"/>
      <c r="D87" s="171">
        <v>83.8</v>
      </c>
      <c r="E87" s="365">
        <v>90</v>
      </c>
      <c r="F87" s="362">
        <v>64.099999999999994</v>
      </c>
      <c r="G87" s="33">
        <f t="shared" si="4"/>
        <v>-25.900000000000006</v>
      </c>
      <c r="H87" s="33">
        <f t="shared" si="5"/>
        <v>71.222222222222214</v>
      </c>
    </row>
    <row r="88" spans="1:8" ht="18" customHeight="1">
      <c r="A88" s="166"/>
      <c r="B88" s="31" t="s">
        <v>169</v>
      </c>
      <c r="C88" s="13"/>
      <c r="D88" s="171">
        <v>180</v>
      </c>
      <c r="E88" s="365">
        <v>210</v>
      </c>
      <c r="F88" s="362">
        <v>199.7</v>
      </c>
      <c r="G88" s="33">
        <f t="shared" si="4"/>
        <v>-10.300000000000011</v>
      </c>
      <c r="H88" s="33">
        <f t="shared" si="5"/>
        <v>95.095238095238088</v>
      </c>
    </row>
    <row r="89" spans="1:8" ht="39.75" customHeight="1">
      <c r="A89" s="166"/>
      <c r="B89" s="173" t="s">
        <v>289</v>
      </c>
      <c r="C89" s="13"/>
      <c r="D89" s="171">
        <v>83.4</v>
      </c>
      <c r="E89" s="365">
        <v>120</v>
      </c>
      <c r="F89" s="362">
        <v>205.9</v>
      </c>
      <c r="G89" s="33"/>
      <c r="H89" s="33"/>
    </row>
    <row r="90" spans="1:8" ht="18" customHeight="1">
      <c r="A90" s="166"/>
      <c r="B90" s="31" t="s">
        <v>145</v>
      </c>
      <c r="C90" s="13"/>
      <c r="D90" s="171">
        <v>55</v>
      </c>
      <c r="E90" s="365">
        <v>75</v>
      </c>
      <c r="F90" s="362">
        <v>95.6</v>
      </c>
      <c r="G90" s="33">
        <f t="shared" si="4"/>
        <v>20.599999999999994</v>
      </c>
      <c r="H90" s="33">
        <f t="shared" si="5"/>
        <v>127.46666666666667</v>
      </c>
    </row>
    <row r="91" spans="1:8" ht="18" customHeight="1">
      <c r="A91" s="166"/>
      <c r="B91" s="31" t="s">
        <v>146</v>
      </c>
      <c r="C91" s="13"/>
      <c r="D91" s="171">
        <v>82.8</v>
      </c>
      <c r="E91" s="365">
        <v>100</v>
      </c>
      <c r="F91" s="362">
        <v>213.3</v>
      </c>
      <c r="G91" s="33">
        <f t="shared" ref="G91:G107" si="7">F91-E91</f>
        <v>113.30000000000001</v>
      </c>
      <c r="H91" s="33">
        <f t="shared" ref="H91:H107" si="8">(F91/E91)*100</f>
        <v>213.3</v>
      </c>
    </row>
    <row r="92" spans="1:8" ht="18" customHeight="1">
      <c r="A92" s="166"/>
      <c r="B92" s="31" t="s">
        <v>122</v>
      </c>
      <c r="C92" s="13"/>
      <c r="D92" s="171">
        <f>84.4</f>
        <v>84.4</v>
      </c>
      <c r="E92" s="365">
        <v>85</v>
      </c>
      <c r="F92" s="362">
        <v>93.7</v>
      </c>
      <c r="G92" s="33">
        <f t="shared" si="7"/>
        <v>8.7000000000000028</v>
      </c>
      <c r="H92" s="33">
        <f t="shared" si="8"/>
        <v>110.23529411764706</v>
      </c>
    </row>
    <row r="93" spans="1:8" ht="18" customHeight="1">
      <c r="A93" s="166"/>
      <c r="B93" s="31" t="s">
        <v>123</v>
      </c>
      <c r="C93" s="13"/>
      <c r="D93" s="171">
        <v>3.6</v>
      </c>
      <c r="E93" s="365">
        <v>3.6</v>
      </c>
      <c r="F93" s="362">
        <v>3.1</v>
      </c>
      <c r="G93" s="33">
        <f t="shared" si="7"/>
        <v>-0.5</v>
      </c>
      <c r="H93" s="33">
        <f t="shared" si="8"/>
        <v>86.111111111111114</v>
      </c>
    </row>
    <row r="94" spans="1:8" ht="18" customHeight="1">
      <c r="A94" s="166"/>
      <c r="B94" s="31" t="s">
        <v>124</v>
      </c>
      <c r="C94" s="13"/>
      <c r="D94" s="171">
        <v>39</v>
      </c>
      <c r="E94" s="365">
        <v>40.1</v>
      </c>
      <c r="F94" s="362">
        <v>84.4</v>
      </c>
      <c r="G94" s="33">
        <f t="shared" si="7"/>
        <v>44.300000000000004</v>
      </c>
      <c r="H94" s="33">
        <f t="shared" si="8"/>
        <v>210.47381546134662</v>
      </c>
    </row>
    <row r="95" spans="1:8" ht="18" customHeight="1">
      <c r="A95" s="166"/>
      <c r="B95" s="31" t="s">
        <v>125</v>
      </c>
      <c r="C95" s="13"/>
      <c r="D95" s="171">
        <v>3</v>
      </c>
      <c r="E95" s="365">
        <v>3</v>
      </c>
      <c r="F95" s="362">
        <v>2.4</v>
      </c>
      <c r="G95" s="33">
        <f t="shared" si="7"/>
        <v>-0.60000000000000009</v>
      </c>
      <c r="H95" s="33">
        <f t="shared" si="8"/>
        <v>80</v>
      </c>
    </row>
    <row r="96" spans="1:8" ht="36.75" customHeight="1">
      <c r="A96" s="166"/>
      <c r="B96" s="31" t="s">
        <v>147</v>
      </c>
      <c r="C96" s="13"/>
      <c r="D96" s="171">
        <v>4.9000000000000004</v>
      </c>
      <c r="E96" s="362">
        <v>5</v>
      </c>
      <c r="F96" s="362"/>
      <c r="G96" s="33">
        <f t="shared" si="7"/>
        <v>-5</v>
      </c>
      <c r="H96" s="33">
        <f t="shared" si="8"/>
        <v>0</v>
      </c>
    </row>
    <row r="97" spans="1:8" ht="18" customHeight="1">
      <c r="A97" s="166"/>
      <c r="B97" s="31" t="s">
        <v>38</v>
      </c>
      <c r="C97" s="13"/>
      <c r="D97" s="171">
        <v>0.3</v>
      </c>
      <c r="E97" s="362">
        <v>0.3</v>
      </c>
      <c r="F97" s="362">
        <v>0.3</v>
      </c>
      <c r="G97" s="33">
        <f t="shared" si="7"/>
        <v>0</v>
      </c>
      <c r="H97" s="33">
        <f t="shared" si="8"/>
        <v>100</v>
      </c>
    </row>
    <row r="98" spans="1:8" ht="37.5" customHeight="1">
      <c r="A98" s="166"/>
      <c r="B98" s="31" t="s">
        <v>235</v>
      </c>
      <c r="C98" s="13"/>
      <c r="D98" s="171">
        <v>3</v>
      </c>
      <c r="E98" s="362"/>
      <c r="F98" s="362">
        <v>3.2</v>
      </c>
      <c r="G98" s="33">
        <f t="shared" si="7"/>
        <v>3.2</v>
      </c>
      <c r="H98" s="92" t="e">
        <f t="shared" si="8"/>
        <v>#DIV/0!</v>
      </c>
    </row>
    <row r="99" spans="1:8" ht="19.5" customHeight="1">
      <c r="A99" s="16"/>
      <c r="B99" s="16" t="s">
        <v>320</v>
      </c>
      <c r="C99" s="13"/>
      <c r="D99" s="171">
        <v>3.2</v>
      </c>
      <c r="E99" s="362"/>
      <c r="F99" s="362"/>
      <c r="G99" s="33"/>
      <c r="H99" s="92"/>
    </row>
    <row r="100" spans="1:8" ht="36.75" customHeight="1">
      <c r="A100" s="31"/>
      <c r="B100" s="28" t="s">
        <v>346</v>
      </c>
      <c r="C100" s="13"/>
      <c r="D100" s="171"/>
      <c r="E100" s="362">
        <v>500</v>
      </c>
      <c r="F100" s="362"/>
      <c r="G100" s="33"/>
      <c r="H100" s="92"/>
    </row>
    <row r="101" spans="1:8" ht="22.5" customHeight="1">
      <c r="A101" s="320" t="s">
        <v>10</v>
      </c>
      <c r="B101" s="321"/>
      <c r="C101" s="13"/>
      <c r="D101" s="175"/>
      <c r="E101" s="360"/>
      <c r="F101" s="360"/>
      <c r="G101" s="182"/>
      <c r="H101" s="185"/>
    </row>
    <row r="102" spans="1:8" ht="22.5" customHeight="1">
      <c r="A102" s="330" t="s">
        <v>89</v>
      </c>
      <c r="B102" s="331"/>
      <c r="C102" s="13">
        <v>1031</v>
      </c>
      <c r="D102" s="175">
        <v>73.099999999999994</v>
      </c>
      <c r="E102" s="360"/>
      <c r="F102" s="360"/>
      <c r="G102" s="182"/>
      <c r="H102" s="185"/>
    </row>
    <row r="103" spans="1:8" ht="22.5" customHeight="1">
      <c r="A103" s="206"/>
      <c r="B103" s="133" t="s">
        <v>321</v>
      </c>
      <c r="C103" s="9"/>
      <c r="D103" s="175">
        <v>73.099999999999994</v>
      </c>
      <c r="E103" s="360"/>
      <c r="F103" s="360"/>
      <c r="G103" s="182"/>
      <c r="H103" s="185"/>
    </row>
    <row r="104" spans="1:8" ht="18" customHeight="1">
      <c r="A104" s="317" t="s">
        <v>193</v>
      </c>
      <c r="B104" s="318"/>
      <c r="C104" s="190">
        <v>1035</v>
      </c>
      <c r="D104" s="175">
        <f>SUM(D105:D107)</f>
        <v>572.4</v>
      </c>
      <c r="E104" s="360">
        <f>SUM(E105:E107)</f>
        <v>485</v>
      </c>
      <c r="F104" s="360">
        <f>SUM(F105:F107)</f>
        <v>249</v>
      </c>
      <c r="G104" s="182">
        <f t="shared" si="7"/>
        <v>-236</v>
      </c>
      <c r="H104" s="182">
        <f t="shared" si="8"/>
        <v>51.340206185567006</v>
      </c>
    </row>
    <row r="105" spans="1:8" ht="22.5" customHeight="1">
      <c r="A105" s="9"/>
      <c r="B105" s="16" t="s">
        <v>322</v>
      </c>
      <c r="C105" s="195"/>
      <c r="D105" s="171">
        <v>115</v>
      </c>
      <c r="E105" s="361"/>
      <c r="F105" s="362">
        <v>70.5</v>
      </c>
      <c r="G105" s="33">
        <f t="shared" si="7"/>
        <v>70.5</v>
      </c>
      <c r="H105" s="33" t="e">
        <f t="shared" si="8"/>
        <v>#DIV/0!</v>
      </c>
    </row>
    <row r="106" spans="1:8" ht="21" customHeight="1">
      <c r="A106" s="9"/>
      <c r="B106" s="31" t="s">
        <v>128</v>
      </c>
      <c r="C106" s="193"/>
      <c r="D106" s="171">
        <v>122.6</v>
      </c>
      <c r="E106" s="361">
        <v>135</v>
      </c>
      <c r="F106" s="362">
        <v>178.5</v>
      </c>
      <c r="G106" s="33">
        <f t="shared" si="7"/>
        <v>43.5</v>
      </c>
      <c r="H106" s="33">
        <f t="shared" si="8"/>
        <v>132.22222222222223</v>
      </c>
    </row>
    <row r="107" spans="1:8" ht="24.75" customHeight="1">
      <c r="A107" s="9"/>
      <c r="B107" s="16" t="s">
        <v>132</v>
      </c>
      <c r="C107" s="193"/>
      <c r="D107" s="171">
        <v>334.8</v>
      </c>
      <c r="E107" s="361">
        <v>350</v>
      </c>
      <c r="F107" s="362"/>
      <c r="G107" s="33">
        <f t="shared" si="7"/>
        <v>-350</v>
      </c>
      <c r="H107" s="92">
        <f t="shared" si="8"/>
        <v>0</v>
      </c>
    </row>
    <row r="108" spans="1:8" ht="127.5" customHeight="1">
      <c r="A108" s="5"/>
      <c r="B108" s="319" t="s">
        <v>130</v>
      </c>
      <c r="C108" s="319"/>
      <c r="D108" s="324"/>
      <c r="E108" s="324"/>
      <c r="F108" s="319" t="s">
        <v>240</v>
      </c>
      <c r="G108" s="319"/>
      <c r="H108" s="319"/>
    </row>
    <row r="109" spans="1:8" ht="18.75" customHeight="1">
      <c r="A109" s="5"/>
      <c r="B109" s="204" t="s">
        <v>54</v>
      </c>
      <c r="C109" s="6"/>
      <c r="D109" s="325" t="s">
        <v>9</v>
      </c>
      <c r="E109" s="325"/>
      <c r="F109" s="322" t="s">
        <v>14</v>
      </c>
      <c r="G109" s="322"/>
      <c r="H109" s="322"/>
    </row>
    <row r="110" spans="1:8">
      <c r="B110" s="155"/>
    </row>
    <row r="111" spans="1:8">
      <c r="B111" s="155"/>
    </row>
    <row r="112" spans="1:8">
      <c r="B112" s="155"/>
    </row>
    <row r="113" spans="2:2">
      <c r="B113" s="155"/>
    </row>
    <row r="114" spans="2:2">
      <c r="B114" s="155"/>
    </row>
    <row r="115" spans="2:2">
      <c r="B115" s="155"/>
    </row>
    <row r="116" spans="2:2">
      <c r="B116" s="155"/>
    </row>
    <row r="117" spans="2:2">
      <c r="B117" s="155"/>
    </row>
    <row r="118" spans="2:2">
      <c r="B118" s="155"/>
    </row>
    <row r="119" spans="2:2">
      <c r="B119" s="155"/>
    </row>
    <row r="120" spans="2:2">
      <c r="B120" s="155"/>
    </row>
    <row r="121" spans="2:2">
      <c r="B121" s="155"/>
    </row>
    <row r="122" spans="2:2">
      <c r="B122" s="155"/>
    </row>
    <row r="123" spans="2:2">
      <c r="B123" s="155"/>
    </row>
    <row r="124" spans="2:2">
      <c r="B124" s="155"/>
    </row>
    <row r="125" spans="2:2">
      <c r="B125" s="155"/>
    </row>
    <row r="126" spans="2:2">
      <c r="B126" s="155"/>
    </row>
    <row r="127" spans="2:2">
      <c r="B127" s="155"/>
    </row>
    <row r="128" spans="2:2">
      <c r="B128" s="155"/>
    </row>
    <row r="129" spans="2:2">
      <c r="B129" s="155"/>
    </row>
    <row r="130" spans="2:2">
      <c r="B130" s="155"/>
    </row>
    <row r="131" spans="2:2">
      <c r="B131" s="155"/>
    </row>
    <row r="132" spans="2:2">
      <c r="B132" s="155"/>
    </row>
    <row r="133" spans="2:2">
      <c r="B133" s="155"/>
    </row>
    <row r="134" spans="2:2">
      <c r="B134" s="155"/>
    </row>
    <row r="135" spans="2:2">
      <c r="B135" s="155"/>
    </row>
    <row r="136" spans="2:2">
      <c r="B136" s="155"/>
    </row>
    <row r="137" spans="2:2">
      <c r="B137" s="155"/>
    </row>
    <row r="138" spans="2:2">
      <c r="B138" s="155"/>
    </row>
    <row r="139" spans="2:2">
      <c r="B139" s="155"/>
    </row>
    <row r="140" spans="2:2">
      <c r="B140" s="155"/>
    </row>
    <row r="141" spans="2:2">
      <c r="B141" s="155"/>
    </row>
    <row r="142" spans="2:2">
      <c r="B142" s="155"/>
    </row>
    <row r="143" spans="2:2">
      <c r="B143" s="155"/>
    </row>
    <row r="144" spans="2:2">
      <c r="B144" s="155"/>
    </row>
    <row r="145" spans="2:2">
      <c r="B145" s="155"/>
    </row>
    <row r="146" spans="2:2">
      <c r="B146" s="155"/>
    </row>
    <row r="147" spans="2:2">
      <c r="B147" s="155"/>
    </row>
    <row r="148" spans="2:2">
      <c r="B148" s="155"/>
    </row>
    <row r="149" spans="2:2">
      <c r="B149" s="155"/>
    </row>
    <row r="150" spans="2:2">
      <c r="B150" s="155"/>
    </row>
    <row r="151" spans="2:2">
      <c r="B151" s="155"/>
    </row>
    <row r="152" spans="2:2">
      <c r="B152" s="155"/>
    </row>
    <row r="153" spans="2:2">
      <c r="B153" s="155"/>
    </row>
    <row r="154" spans="2:2">
      <c r="B154" s="155"/>
    </row>
    <row r="155" spans="2:2">
      <c r="B155" s="155"/>
    </row>
    <row r="156" spans="2:2">
      <c r="B156" s="155"/>
    </row>
    <row r="157" spans="2:2">
      <c r="B157" s="155"/>
    </row>
    <row r="158" spans="2:2">
      <c r="B158" s="155"/>
    </row>
    <row r="159" spans="2:2">
      <c r="B159" s="155"/>
    </row>
    <row r="160" spans="2:2">
      <c r="B160" s="155"/>
    </row>
    <row r="161" spans="2:2">
      <c r="B161" s="155"/>
    </row>
    <row r="162" spans="2:2">
      <c r="B162" s="155"/>
    </row>
    <row r="163" spans="2:2">
      <c r="B163" s="155"/>
    </row>
    <row r="164" spans="2:2">
      <c r="B164" s="155"/>
    </row>
    <row r="165" spans="2:2">
      <c r="B165" s="155"/>
    </row>
    <row r="166" spans="2:2">
      <c r="B166" s="155"/>
    </row>
    <row r="167" spans="2:2">
      <c r="B167" s="155"/>
    </row>
    <row r="168" spans="2:2">
      <c r="B168" s="155"/>
    </row>
    <row r="169" spans="2:2">
      <c r="B169" s="155"/>
    </row>
    <row r="170" spans="2:2">
      <c r="B170" s="155"/>
    </row>
    <row r="171" spans="2:2">
      <c r="B171" s="155"/>
    </row>
    <row r="172" spans="2:2">
      <c r="B172" s="155"/>
    </row>
    <row r="173" spans="2:2">
      <c r="B173" s="155"/>
    </row>
    <row r="174" spans="2:2">
      <c r="B174" s="155"/>
    </row>
    <row r="175" spans="2:2">
      <c r="B175" s="155"/>
    </row>
    <row r="176" spans="2:2">
      <c r="B176" s="155"/>
    </row>
    <row r="177" spans="2:2">
      <c r="B177" s="155"/>
    </row>
    <row r="178" spans="2:2">
      <c r="B178" s="155"/>
    </row>
    <row r="179" spans="2:2">
      <c r="B179" s="155"/>
    </row>
    <row r="180" spans="2:2">
      <c r="B180" s="155"/>
    </row>
    <row r="181" spans="2:2">
      <c r="B181" s="155"/>
    </row>
    <row r="182" spans="2:2">
      <c r="B182" s="155"/>
    </row>
    <row r="183" spans="2:2">
      <c r="B183" s="155"/>
    </row>
    <row r="184" spans="2:2">
      <c r="B184" s="155"/>
    </row>
    <row r="185" spans="2:2">
      <c r="B185" s="155"/>
    </row>
    <row r="186" spans="2:2">
      <c r="B186" s="155"/>
    </row>
    <row r="187" spans="2:2">
      <c r="B187" s="155"/>
    </row>
    <row r="188" spans="2:2">
      <c r="B188" s="155"/>
    </row>
    <row r="189" spans="2:2">
      <c r="B189" s="155"/>
    </row>
    <row r="190" spans="2:2">
      <c r="B190" s="155"/>
    </row>
    <row r="191" spans="2:2">
      <c r="B191" s="155"/>
    </row>
    <row r="192" spans="2:2">
      <c r="B192" s="155"/>
    </row>
    <row r="193" spans="2:2">
      <c r="B193" s="155"/>
    </row>
    <row r="194" spans="2:2">
      <c r="B194" s="155"/>
    </row>
    <row r="195" spans="2:2">
      <c r="B195" s="155"/>
    </row>
    <row r="196" spans="2:2">
      <c r="B196" s="155"/>
    </row>
    <row r="197" spans="2:2">
      <c r="B197" s="155"/>
    </row>
    <row r="198" spans="2:2">
      <c r="B198" s="155"/>
    </row>
    <row r="199" spans="2:2">
      <c r="B199" s="155"/>
    </row>
    <row r="200" spans="2:2">
      <c r="B200" s="155"/>
    </row>
    <row r="201" spans="2:2">
      <c r="B201" s="155"/>
    </row>
    <row r="202" spans="2:2">
      <c r="B202" s="155"/>
    </row>
    <row r="203" spans="2:2">
      <c r="B203" s="155"/>
    </row>
    <row r="204" spans="2:2">
      <c r="B204" s="155"/>
    </row>
    <row r="205" spans="2:2">
      <c r="B205" s="155"/>
    </row>
    <row r="206" spans="2:2">
      <c r="B206" s="155"/>
    </row>
    <row r="207" spans="2:2">
      <c r="B207" s="155"/>
    </row>
    <row r="208" spans="2:2">
      <c r="B208" s="155"/>
    </row>
    <row r="209" spans="2:2">
      <c r="B209" s="155"/>
    </row>
    <row r="210" spans="2:2">
      <c r="B210" s="155"/>
    </row>
    <row r="211" spans="2:2">
      <c r="B211" s="155"/>
    </row>
    <row r="212" spans="2:2">
      <c r="B212" s="155"/>
    </row>
    <row r="213" spans="2:2">
      <c r="B213" s="155"/>
    </row>
  </sheetData>
  <mergeCells count="21">
    <mergeCell ref="F109:H109"/>
    <mergeCell ref="A86:B86"/>
    <mergeCell ref="A104:B104"/>
    <mergeCell ref="A1:H1"/>
    <mergeCell ref="D108:E108"/>
    <mergeCell ref="D109:E109"/>
    <mergeCell ref="B108:C108"/>
    <mergeCell ref="A25:B25"/>
    <mergeCell ref="A5:B5"/>
    <mergeCell ref="A6:B6"/>
    <mergeCell ref="A12:B12"/>
    <mergeCell ref="A20:B20"/>
    <mergeCell ref="A22:B22"/>
    <mergeCell ref="A27:B27"/>
    <mergeCell ref="A45:B45"/>
    <mergeCell ref="A102:B102"/>
    <mergeCell ref="A82:B82"/>
    <mergeCell ref="F108:H108"/>
    <mergeCell ref="A26:B26"/>
    <mergeCell ref="A81:B81"/>
    <mergeCell ref="A101:B101"/>
  </mergeCells>
  <printOptions horizontalCentered="1"/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Y243"/>
  <sheetViews>
    <sheetView tabSelected="1" view="pageBreakPreview" topLeftCell="A92" zoomScale="80" zoomScaleNormal="70" zoomScaleSheetLayoutView="80" workbookViewId="0">
      <selection activeCell="F120" sqref="F120"/>
    </sheetView>
  </sheetViews>
  <sheetFormatPr defaultRowHeight="18.75"/>
  <cols>
    <col min="1" max="1" width="9" style="96" customWidth="1"/>
    <col min="2" max="2" width="59" style="96" customWidth="1"/>
    <col min="3" max="3" width="9.42578125" style="30" customWidth="1"/>
    <col min="4" max="5" width="16.7109375" style="30" customWidth="1"/>
    <col min="6" max="6" width="16.7109375" style="380" customWidth="1"/>
    <col min="7" max="7" width="14.7109375" style="96" customWidth="1"/>
    <col min="8" max="8" width="14.140625" style="96" customWidth="1"/>
    <col min="9" max="9" width="17.5703125" style="96" customWidth="1"/>
    <col min="10" max="10" width="31.7109375" style="97" customWidth="1"/>
    <col min="11" max="11" width="19.7109375" style="103" customWidth="1"/>
    <col min="12" max="12" width="24.28515625" style="148" customWidth="1"/>
    <col min="13" max="13" width="17.140625" style="148" customWidth="1"/>
    <col min="14" max="14" width="16.7109375" style="96" customWidth="1"/>
    <col min="15" max="18" width="19.7109375" style="96" customWidth="1"/>
    <col min="19" max="19" width="11" style="96" customWidth="1"/>
    <col min="20" max="20" width="14" style="96" customWidth="1"/>
    <col min="21" max="21" width="9.140625" style="96"/>
    <col min="22" max="22" width="14.28515625" style="96" customWidth="1"/>
    <col min="23" max="16384" width="9.140625" style="96"/>
  </cols>
  <sheetData>
    <row r="1" spans="1:18" ht="47.25" customHeight="1">
      <c r="A1" s="101"/>
      <c r="B1" s="334" t="s">
        <v>100</v>
      </c>
      <c r="C1" s="334"/>
      <c r="D1" s="334"/>
      <c r="E1" s="334"/>
      <c r="F1" s="334"/>
      <c r="G1" s="334"/>
      <c r="H1" s="334"/>
    </row>
    <row r="2" spans="1:18" ht="18.75" customHeight="1">
      <c r="A2" s="101"/>
      <c r="B2" s="273"/>
      <c r="C2" s="207"/>
      <c r="D2" s="273"/>
      <c r="E2" s="281"/>
      <c r="F2" s="369"/>
      <c r="G2" s="101"/>
      <c r="H2" s="101" t="s">
        <v>59</v>
      </c>
    </row>
    <row r="3" spans="1:18" s="98" customFormat="1" ht="63" customHeight="1">
      <c r="A3" s="29" t="s">
        <v>6</v>
      </c>
      <c r="B3" s="29" t="s">
        <v>20</v>
      </c>
      <c r="C3" s="29" t="s">
        <v>4</v>
      </c>
      <c r="D3" s="11" t="s">
        <v>357</v>
      </c>
      <c r="E3" s="10" t="s">
        <v>358</v>
      </c>
      <c r="F3" s="357" t="s">
        <v>359</v>
      </c>
      <c r="G3" s="9" t="s">
        <v>180</v>
      </c>
      <c r="H3" s="9" t="s">
        <v>181</v>
      </c>
      <c r="J3" s="102"/>
      <c r="K3" s="103"/>
      <c r="L3" s="103"/>
      <c r="M3" s="103"/>
    </row>
    <row r="4" spans="1:18" s="98" customFormat="1" ht="19.5" customHeight="1">
      <c r="A4" s="9">
        <v>1</v>
      </c>
      <c r="B4" s="9">
        <v>2</v>
      </c>
      <c r="C4" s="9">
        <v>3</v>
      </c>
      <c r="D4" s="9">
        <v>4</v>
      </c>
      <c r="E4" s="9">
        <v>5</v>
      </c>
      <c r="F4" s="358">
        <v>6</v>
      </c>
      <c r="G4" s="9">
        <v>7</v>
      </c>
      <c r="H4" s="9">
        <v>8</v>
      </c>
      <c r="J4" s="102"/>
      <c r="K4" s="103"/>
      <c r="L4" s="103"/>
      <c r="M4" s="103"/>
    </row>
    <row r="5" spans="1:18" s="98" customFormat="1" ht="31.5" customHeight="1">
      <c r="A5" s="317" t="s">
        <v>70</v>
      </c>
      <c r="B5" s="318"/>
      <c r="C5" s="107"/>
      <c r="D5" s="27">
        <f>SUM(D6,D71,D76,D86,D91,D97,D122,D133,D138,D162,D167,D173,D178,D198,D202,D116)</f>
        <v>259776.49999999997</v>
      </c>
      <c r="E5" s="27">
        <f t="shared" ref="E5:F5" si="0">SUM(E6,E71,E76,E86,E91,E97,E122,E133,E138,E162,E167,E173,E178,E198,E202,E116)</f>
        <v>282557.40000000002</v>
      </c>
      <c r="F5" s="364">
        <f t="shared" si="0"/>
        <v>295967.09999999998</v>
      </c>
      <c r="G5" s="63">
        <f t="shared" ref="G5" si="1">F5-E5</f>
        <v>13409.699999999953</v>
      </c>
      <c r="H5" s="63">
        <f t="shared" ref="H5" si="2">(F5/E5)*100</f>
        <v>104.74583217427677</v>
      </c>
      <c r="I5" s="202"/>
      <c r="J5" s="201"/>
      <c r="K5" s="103"/>
      <c r="L5" s="103"/>
      <c r="M5" s="103"/>
    </row>
    <row r="6" spans="1:18" s="98" customFormat="1" ht="41.25" customHeight="1">
      <c r="A6" s="13" t="s">
        <v>71</v>
      </c>
      <c r="B6" s="166" t="s">
        <v>407</v>
      </c>
      <c r="C6" s="167"/>
      <c r="D6" s="27">
        <f>SUM(D8,D50,D65)</f>
        <v>206849.2</v>
      </c>
      <c r="E6" s="27">
        <f>SUM(E8,E50,E65)</f>
        <v>246367.2</v>
      </c>
      <c r="F6" s="364">
        <f>SUM(F8,F50,F65)</f>
        <v>245411.30000000002</v>
      </c>
      <c r="G6" s="63">
        <f>F6-E6</f>
        <v>-955.89999999999418</v>
      </c>
      <c r="H6" s="63">
        <f>(F6/E6)*100</f>
        <v>99.612001922333818</v>
      </c>
      <c r="I6" s="104"/>
      <c r="J6" s="201"/>
      <c r="K6" s="103"/>
      <c r="L6" s="103"/>
      <c r="M6" s="103"/>
      <c r="N6" s="105"/>
    </row>
    <row r="7" spans="1:18" s="98" customFormat="1" ht="24" customHeight="1">
      <c r="A7" s="9"/>
      <c r="B7" s="106" t="s">
        <v>72</v>
      </c>
      <c r="C7" s="107"/>
      <c r="D7" s="26"/>
      <c r="E7" s="26"/>
      <c r="F7" s="366"/>
      <c r="G7" s="63"/>
      <c r="H7" s="63"/>
      <c r="J7" s="102"/>
      <c r="K7" s="103">
        <f>K9+K17+K25</f>
        <v>259584.40000000002</v>
      </c>
      <c r="L7" s="103">
        <f>L9+L17+L25</f>
        <v>282557.40000000002</v>
      </c>
      <c r="M7" s="103">
        <f>M9+M17+M25</f>
        <v>295967.09999999998</v>
      </c>
    </row>
    <row r="8" spans="1:18" s="98" customFormat="1" ht="43.5" customHeight="1">
      <c r="A8" s="108" t="s">
        <v>73</v>
      </c>
      <c r="B8" s="20" t="s">
        <v>76</v>
      </c>
      <c r="C8" s="109">
        <v>1010</v>
      </c>
      <c r="D8" s="110">
        <f>SUM(D9,D20,D21,D23,D22)</f>
        <v>191843.1</v>
      </c>
      <c r="E8" s="110">
        <f>SUM(E9,E20,E21,E22,E23)</f>
        <v>226510.2</v>
      </c>
      <c r="F8" s="370">
        <f>SUM(F9,F19,F20,F21,F23,F22)</f>
        <v>224329.50000000003</v>
      </c>
      <c r="G8" s="111">
        <f t="shared" ref="G8:G16" si="3">F8-E8</f>
        <v>-2180.6999999999825</v>
      </c>
      <c r="H8" s="111">
        <f t="shared" ref="H8:H9" si="4">(F8/E8)*100</f>
        <v>99.03726189813969</v>
      </c>
      <c r="I8" s="104"/>
      <c r="J8" s="102"/>
      <c r="K8" s="149"/>
      <c r="L8" s="150"/>
      <c r="M8" s="149"/>
      <c r="N8" s="137"/>
      <c r="P8" s="105"/>
    </row>
    <row r="9" spans="1:18" s="98" customFormat="1" ht="22.5" customHeight="1">
      <c r="A9" s="112" t="s">
        <v>157</v>
      </c>
      <c r="B9" s="106" t="s">
        <v>89</v>
      </c>
      <c r="C9" s="119">
        <v>1011</v>
      </c>
      <c r="D9" s="117">
        <f>SUM(D10:D18)</f>
        <v>51730.400000000009</v>
      </c>
      <c r="E9" s="117">
        <f>SUM(E10:E18)</f>
        <v>76618.5</v>
      </c>
      <c r="F9" s="371">
        <f>SUM(F10:F18)</f>
        <v>68765.8</v>
      </c>
      <c r="G9" s="120">
        <f t="shared" si="3"/>
        <v>-7852.6999999999971</v>
      </c>
      <c r="H9" s="120">
        <f t="shared" si="4"/>
        <v>89.750908723089069</v>
      </c>
      <c r="I9" s="104"/>
      <c r="J9" s="102">
        <v>1010</v>
      </c>
      <c r="K9" s="149">
        <f>SUM(D8,D73,D78,D93,D99,D118,D124,D140,D164,D169,D175,D180,D204)</f>
        <v>241780.6</v>
      </c>
      <c r="L9" s="149">
        <f t="shared" ref="L9" si="5">SUM(E8,E73,E78,E93,E99,E118,E124,E140,E164,E169,E175,E180,E204)</f>
        <v>259960.40000000002</v>
      </c>
      <c r="M9" s="149">
        <f>SUM(F8,F73,F78,F93,F99,F118,F124,F140,F164,F169,F175,F180,F204)</f>
        <v>273430.2</v>
      </c>
      <c r="N9" s="137"/>
      <c r="O9" s="116"/>
    </row>
    <row r="10" spans="1:18" s="98" customFormat="1" ht="37.5">
      <c r="A10" s="113"/>
      <c r="B10" s="28" t="s">
        <v>183</v>
      </c>
      <c r="C10" s="9"/>
      <c r="D10" s="26">
        <v>9.4</v>
      </c>
      <c r="E10" s="217">
        <v>18</v>
      </c>
      <c r="F10" s="366">
        <v>78.099999999999994</v>
      </c>
      <c r="G10" s="19">
        <f t="shared" si="3"/>
        <v>60.099999999999994</v>
      </c>
      <c r="H10" s="142">
        <f>G10/F10*100</f>
        <v>76.952624839948783</v>
      </c>
      <c r="I10" s="105"/>
      <c r="J10" s="102">
        <v>1011</v>
      </c>
      <c r="K10" s="150">
        <f>SUM(D9,D79,D119,D125,D141,D165,D170,D176,D181,D94,D100)</f>
        <v>81801.400000000009</v>
      </c>
      <c r="L10" s="150">
        <f>SUM(E9,E79,E119,E125,E141,E170,E176,E181,E94,E100)</f>
        <v>88777.4</v>
      </c>
      <c r="M10" s="150">
        <f>SUM(F9,F79,F119,F125,F141,F170,F176,F181,F94,F100,)</f>
        <v>93459.1</v>
      </c>
      <c r="N10" s="137"/>
    </row>
    <row r="11" spans="1:18" s="98" customFormat="1" ht="38.25" customHeight="1">
      <c r="A11" s="113"/>
      <c r="B11" s="16" t="s">
        <v>300</v>
      </c>
      <c r="C11" s="9"/>
      <c r="D11" s="26">
        <v>170.2</v>
      </c>
      <c r="E11" s="217">
        <v>220</v>
      </c>
      <c r="F11" s="366">
        <v>220.7</v>
      </c>
      <c r="G11" s="19">
        <f t="shared" si="3"/>
        <v>0.69999999999998863</v>
      </c>
      <c r="H11" s="19">
        <f t="shared" ref="H11:H16" si="6">G11/F11*100</f>
        <v>0.31717263253284489</v>
      </c>
      <c r="I11" s="105"/>
      <c r="J11" s="102">
        <v>1012</v>
      </c>
      <c r="K11" s="150">
        <f>SUM(D20,D74,D84,D89)</f>
        <v>112972.3</v>
      </c>
      <c r="L11" s="150">
        <f>SUM(E20,E74,E84,)</f>
        <v>120584.1</v>
      </c>
      <c r="M11" s="150">
        <f>SUM(F19,F20,F74,F84,)</f>
        <v>124941.9</v>
      </c>
      <c r="N11" s="137"/>
    </row>
    <row r="12" spans="1:18" s="98" customFormat="1" ht="21" customHeight="1">
      <c r="A12" s="113"/>
      <c r="B12" s="31" t="s">
        <v>137</v>
      </c>
      <c r="C12" s="9"/>
      <c r="D12" s="26">
        <v>148</v>
      </c>
      <c r="E12" s="171">
        <v>190</v>
      </c>
      <c r="F12" s="366">
        <v>70.400000000000006</v>
      </c>
      <c r="G12" s="19">
        <f t="shared" si="3"/>
        <v>-119.6</v>
      </c>
      <c r="H12" s="19">
        <f t="shared" si="6"/>
        <v>-169.88636363636363</v>
      </c>
      <c r="I12" s="105"/>
      <c r="J12" s="102">
        <v>1013</v>
      </c>
      <c r="K12" s="150">
        <f>SUM(D21,D75,D85,D90)</f>
        <v>24501.3</v>
      </c>
      <c r="L12" s="150">
        <f>SUM(E21,E75,E85,)</f>
        <v>26243.5</v>
      </c>
      <c r="M12" s="150">
        <f>SUM(F21,F75,F85,)</f>
        <v>27057.399999999998</v>
      </c>
      <c r="N12" s="1"/>
      <c r="O12" s="1"/>
    </row>
    <row r="13" spans="1:18" s="98" customFormat="1" ht="21.75" customHeight="1">
      <c r="A13" s="113"/>
      <c r="B13" s="31" t="s">
        <v>110</v>
      </c>
      <c r="C13" s="9"/>
      <c r="D13" s="26">
        <v>16</v>
      </c>
      <c r="E13" s="217">
        <v>20</v>
      </c>
      <c r="F13" s="366">
        <v>13.8</v>
      </c>
      <c r="G13" s="19">
        <f t="shared" si="3"/>
        <v>-6.1999999999999993</v>
      </c>
      <c r="H13" s="19"/>
      <c r="I13" s="105"/>
      <c r="J13" s="102">
        <v>1014</v>
      </c>
      <c r="K13" s="150">
        <f>SUM(D22,D205)</f>
        <v>19568.400000000001</v>
      </c>
      <c r="L13" s="150">
        <f>SUM(E22,E205)</f>
        <v>20800</v>
      </c>
      <c r="M13" s="150">
        <f>SUM(F22,F205)</f>
        <v>25303.600000000002</v>
      </c>
      <c r="N13" s="55"/>
      <c r="O13" s="55"/>
    </row>
    <row r="14" spans="1:18" s="98" customFormat="1" ht="36.75" customHeight="1">
      <c r="A14" s="113"/>
      <c r="B14" s="31" t="s">
        <v>246</v>
      </c>
      <c r="C14" s="9"/>
      <c r="D14" s="26">
        <v>465.9</v>
      </c>
      <c r="E14" s="217">
        <v>500</v>
      </c>
      <c r="F14" s="366">
        <v>474.5</v>
      </c>
      <c r="G14" s="19">
        <f t="shared" si="3"/>
        <v>-25.5</v>
      </c>
      <c r="H14" s="19">
        <f t="shared" si="6"/>
        <v>-5.3740779768177029</v>
      </c>
      <c r="I14" s="105"/>
      <c r="J14" s="114">
        <v>1015</v>
      </c>
      <c r="K14" s="150">
        <f>SUM(D23,D153,D185,)</f>
        <v>3011.1</v>
      </c>
      <c r="L14" s="150">
        <f>SUM(E23,E109,E185,)</f>
        <v>3555.3999999999996</v>
      </c>
      <c r="M14" s="150">
        <f>SUM(F23,F108,F153,F185,)</f>
        <v>2668.2</v>
      </c>
      <c r="N14" s="288"/>
      <c r="O14" s="285"/>
      <c r="P14" s="104"/>
      <c r="R14" s="116"/>
    </row>
    <row r="15" spans="1:18" s="98" customFormat="1" ht="22.5" customHeight="1">
      <c r="A15" s="113"/>
      <c r="B15" s="16" t="s">
        <v>139</v>
      </c>
      <c r="C15" s="9"/>
      <c r="D15" s="26">
        <v>2.2000000000000002</v>
      </c>
      <c r="E15" s="217">
        <v>5.5</v>
      </c>
      <c r="F15" s="366">
        <v>99</v>
      </c>
      <c r="G15" s="19">
        <f t="shared" si="3"/>
        <v>93.5</v>
      </c>
      <c r="H15" s="142">
        <f t="shared" si="6"/>
        <v>94.444444444444443</v>
      </c>
      <c r="I15" s="114"/>
      <c r="J15" s="102"/>
      <c r="K15" s="148"/>
      <c r="L15" s="148"/>
      <c r="M15" s="148"/>
      <c r="N15" s="289"/>
      <c r="O15" s="287"/>
      <c r="P15" s="104"/>
    </row>
    <row r="16" spans="1:18" s="98" customFormat="1" ht="22.5" customHeight="1">
      <c r="A16" s="113"/>
      <c r="B16" s="16" t="s">
        <v>141</v>
      </c>
      <c r="C16" s="9"/>
      <c r="D16" s="26">
        <v>14.6</v>
      </c>
      <c r="E16" s="217">
        <v>15</v>
      </c>
      <c r="F16" s="366"/>
      <c r="G16" s="19">
        <f t="shared" si="3"/>
        <v>-15</v>
      </c>
      <c r="H16" s="142" t="e">
        <f t="shared" si="6"/>
        <v>#DIV/0!</v>
      </c>
      <c r="I16" s="114"/>
      <c r="J16" s="102"/>
      <c r="K16" s="148"/>
      <c r="L16" s="148"/>
      <c r="M16" s="148"/>
      <c r="N16" s="289"/>
      <c r="O16" s="286"/>
      <c r="P16" s="104"/>
    </row>
    <row r="17" spans="1:22" s="98" customFormat="1" ht="22.5" customHeight="1">
      <c r="A17" s="113"/>
      <c r="B17" s="16" t="s">
        <v>108</v>
      </c>
      <c r="C17" s="9"/>
      <c r="D17" s="251">
        <v>49068.3</v>
      </c>
      <c r="E17" s="171">
        <v>73600</v>
      </c>
      <c r="F17" s="366">
        <v>65478.7</v>
      </c>
      <c r="G17" s="19">
        <f t="shared" ref="G17:G60" si="7">F17-E17</f>
        <v>-8121.3000000000029</v>
      </c>
      <c r="H17" s="19">
        <f t="shared" ref="H17:H63" si="8">(F17/E17)*100</f>
        <v>88.965624999999989</v>
      </c>
      <c r="J17" s="102">
        <v>1020</v>
      </c>
      <c r="K17" s="149">
        <f>SUM(D50,D110,D130,D135,D192,)</f>
        <v>10477.199999999999</v>
      </c>
      <c r="L17" s="149">
        <f>SUM(E50,E110,E130,E135,E192,)</f>
        <v>13497</v>
      </c>
      <c r="M17" s="149">
        <f>SUM(F50,F110,F130,F135,F192,)</f>
        <v>14399.300000000001</v>
      </c>
      <c r="N17" s="290"/>
    </row>
    <row r="18" spans="1:22" s="98" customFormat="1" ht="22.5" customHeight="1">
      <c r="A18" s="113"/>
      <c r="B18" s="16" t="s">
        <v>129</v>
      </c>
      <c r="C18" s="9"/>
      <c r="D18" s="251">
        <v>1835.8</v>
      </c>
      <c r="E18" s="218">
        <v>2050</v>
      </c>
      <c r="F18" s="366">
        <v>2330.6</v>
      </c>
      <c r="G18" s="19">
        <f t="shared" si="7"/>
        <v>280.59999999999991</v>
      </c>
      <c r="H18" s="19">
        <f t="shared" si="8"/>
        <v>113.68780487804877</v>
      </c>
      <c r="I18" s="118"/>
      <c r="J18" s="102">
        <v>1021</v>
      </c>
      <c r="K18" s="150">
        <f>SUM(D51,D136,)</f>
        <v>85</v>
      </c>
      <c r="L18" s="150">
        <f>SUM(E51,E136,)</f>
        <v>110</v>
      </c>
      <c r="M18" s="150">
        <f>SUM(F51,F136,)</f>
        <v>42.1</v>
      </c>
    </row>
    <row r="19" spans="1:22" s="98" customFormat="1" ht="22.5" customHeight="1">
      <c r="A19" s="112" t="s">
        <v>158</v>
      </c>
      <c r="B19" s="126" t="s">
        <v>303</v>
      </c>
      <c r="C19" s="119">
        <v>1012</v>
      </c>
      <c r="D19" s="26"/>
      <c r="E19" s="218"/>
      <c r="F19" s="371">
        <v>499.2</v>
      </c>
      <c r="G19" s="19"/>
      <c r="H19" s="19"/>
      <c r="I19" s="118"/>
      <c r="J19" s="102"/>
      <c r="K19" s="150"/>
      <c r="L19" s="150"/>
      <c r="M19" s="150"/>
    </row>
    <row r="20" spans="1:22" s="98" customFormat="1" ht="24" customHeight="1">
      <c r="A20" s="112" t="s">
        <v>159</v>
      </c>
      <c r="B20" s="106" t="s">
        <v>1</v>
      </c>
      <c r="C20" s="119"/>
      <c r="D20" s="252">
        <v>112188.3</v>
      </c>
      <c r="E20" s="219">
        <v>119750</v>
      </c>
      <c r="F20" s="371">
        <v>123670.5</v>
      </c>
      <c r="G20" s="120">
        <f>F20-E20</f>
        <v>3920.5</v>
      </c>
      <c r="H20" s="120">
        <f t="shared" si="8"/>
        <v>103.27390396659708</v>
      </c>
      <c r="I20" s="118"/>
      <c r="J20" s="102">
        <v>1022</v>
      </c>
      <c r="K20" s="150">
        <f t="shared" ref="K20:M20" si="9">SUM(D55,)</f>
        <v>8197.5</v>
      </c>
      <c r="L20" s="150">
        <f t="shared" si="9"/>
        <v>10350</v>
      </c>
      <c r="M20" s="150">
        <f t="shared" si="9"/>
        <v>11199.7</v>
      </c>
      <c r="N20" s="105"/>
    </row>
    <row r="21" spans="1:22" s="98" customFormat="1" ht="21.75" customHeight="1">
      <c r="A21" s="112" t="s">
        <v>215</v>
      </c>
      <c r="B21" s="106" t="s">
        <v>2</v>
      </c>
      <c r="C21" s="119">
        <v>1013</v>
      </c>
      <c r="D21" s="252">
        <v>24328.799999999999</v>
      </c>
      <c r="E21" s="219">
        <v>26060</v>
      </c>
      <c r="F21" s="371">
        <v>26887.599999999999</v>
      </c>
      <c r="G21" s="120">
        <f t="shared" si="7"/>
        <v>827.59999999999854</v>
      </c>
      <c r="H21" s="120">
        <f t="shared" si="8"/>
        <v>103.17574827321565</v>
      </c>
      <c r="I21" s="200"/>
      <c r="J21" s="102">
        <v>1023</v>
      </c>
      <c r="K21" s="150">
        <f t="shared" ref="K21:M21" si="10">SUM(D56,)</f>
        <v>1571.5</v>
      </c>
      <c r="L21" s="150">
        <f t="shared" si="10"/>
        <v>2055</v>
      </c>
      <c r="M21" s="150">
        <f t="shared" si="10"/>
        <v>2185.3000000000002</v>
      </c>
      <c r="N21" s="96"/>
    </row>
    <row r="22" spans="1:22" s="98" customFormat="1" ht="25.5" customHeight="1">
      <c r="A22" s="112" t="s">
        <v>296</v>
      </c>
      <c r="B22" s="106" t="s">
        <v>3</v>
      </c>
      <c r="C22" s="119">
        <v>1014</v>
      </c>
      <c r="D22" s="117">
        <v>1267.7</v>
      </c>
      <c r="E22" s="219">
        <v>1300</v>
      </c>
      <c r="F22" s="371">
        <v>2112.6999999999998</v>
      </c>
      <c r="G22" s="120">
        <f t="shared" ref="G22" si="11">F22-E22</f>
        <v>812.69999999999982</v>
      </c>
      <c r="H22" s="120">
        <f t="shared" si="8"/>
        <v>162.51538461538459</v>
      </c>
      <c r="I22" s="121"/>
      <c r="J22" s="102">
        <v>1024</v>
      </c>
      <c r="K22" s="150"/>
      <c r="L22" s="150"/>
      <c r="M22" s="150"/>
      <c r="N22" s="96"/>
    </row>
    <row r="23" spans="1:22" s="98" customFormat="1" ht="22.5" customHeight="1">
      <c r="A23" s="112" t="s">
        <v>302</v>
      </c>
      <c r="B23" s="20" t="s">
        <v>79</v>
      </c>
      <c r="C23" s="109">
        <v>1015</v>
      </c>
      <c r="D23" s="110">
        <f>SUM(D24:D49)</f>
        <v>2327.9</v>
      </c>
      <c r="E23" s="110">
        <f>SUM(E24:E49)</f>
        <v>2781.7</v>
      </c>
      <c r="F23" s="370">
        <f>SUM(F24:F49)</f>
        <v>2393.6999999999998</v>
      </c>
      <c r="G23" s="111">
        <f>F23-E23</f>
        <v>-388</v>
      </c>
      <c r="H23" s="111">
        <f>(F23/E23)*100</f>
        <v>86.051695006650604</v>
      </c>
      <c r="I23" s="104"/>
      <c r="J23" s="102">
        <v>1025</v>
      </c>
      <c r="K23" s="150">
        <f>SUM(D57,D111,D131,D160,D193)</f>
        <v>626.4</v>
      </c>
      <c r="L23" s="150">
        <f>SUM(E57,E111,E131,E193)</f>
        <v>982</v>
      </c>
      <c r="M23" s="150">
        <f>SUM(F57,F111,F131,F193)</f>
        <v>972.19999999999993</v>
      </c>
      <c r="N23" s="115"/>
    </row>
    <row r="24" spans="1:22" ht="36.75" customHeight="1">
      <c r="A24" s="113"/>
      <c r="B24" s="28" t="s">
        <v>184</v>
      </c>
      <c r="C24" s="9"/>
      <c r="D24" s="251">
        <v>66.099999999999994</v>
      </c>
      <c r="E24" s="171">
        <v>80</v>
      </c>
      <c r="F24" s="366">
        <f>3.5+5.2+17.1+12.8+16.2+4.2+0.9+1.9+3.3</f>
        <v>65.099999999999994</v>
      </c>
      <c r="G24" s="19">
        <f t="shared" si="7"/>
        <v>-14.900000000000006</v>
      </c>
      <c r="H24" s="19">
        <f t="shared" si="8"/>
        <v>81.375</v>
      </c>
      <c r="I24" s="115"/>
      <c r="J24" s="102"/>
      <c r="K24" s="148"/>
      <c r="N24" s="115"/>
    </row>
    <row r="25" spans="1:22" ht="36.75" customHeight="1">
      <c r="A25" s="113"/>
      <c r="B25" s="31" t="s">
        <v>185</v>
      </c>
      <c r="C25" s="9"/>
      <c r="D25" s="251">
        <f>12.4</f>
        <v>12.4</v>
      </c>
      <c r="E25" s="171">
        <v>12.5</v>
      </c>
      <c r="F25" s="366">
        <f>1+1.8+1.7+1.6+1.6+1.6+3.9+3.9+5.1</f>
        <v>22.199999999999996</v>
      </c>
      <c r="G25" s="19">
        <f t="shared" si="7"/>
        <v>9.6999999999999957</v>
      </c>
      <c r="H25" s="19">
        <f t="shared" si="8"/>
        <v>177.59999999999997</v>
      </c>
      <c r="I25" s="118"/>
      <c r="J25" s="102">
        <v>1030</v>
      </c>
      <c r="K25" s="103">
        <f>SUM(D65,D195,D206)</f>
        <v>7326.6</v>
      </c>
      <c r="L25" s="103">
        <f>SUM(E65,E195,E206)</f>
        <v>9100</v>
      </c>
      <c r="M25" s="103">
        <f>SUM(F65,F195,F200,F206)</f>
        <v>8137.5999999999995</v>
      </c>
      <c r="N25" s="115">
        <f>G20+G21+G55+G56+G66+G67</f>
        <v>6407.4999999999991</v>
      </c>
    </row>
    <row r="26" spans="1:22" ht="22.5" customHeight="1">
      <c r="A26" s="113"/>
      <c r="B26" s="31" t="s">
        <v>114</v>
      </c>
      <c r="C26" s="13"/>
      <c r="D26" s="251">
        <v>33.5</v>
      </c>
      <c r="E26" s="171">
        <v>35</v>
      </c>
      <c r="F26" s="366">
        <v>32.200000000000003</v>
      </c>
      <c r="G26" s="19">
        <f t="shared" si="7"/>
        <v>-2.7999999999999972</v>
      </c>
      <c r="H26" s="19">
        <f t="shared" si="8"/>
        <v>92</v>
      </c>
      <c r="J26" s="102">
        <v>1031</v>
      </c>
      <c r="K26" s="148">
        <f>D196</f>
        <v>73.099999999999994</v>
      </c>
      <c r="N26" s="115"/>
    </row>
    <row r="27" spans="1:22" ht="22.5" customHeight="1">
      <c r="A27" s="113"/>
      <c r="B27" s="31" t="s">
        <v>186</v>
      </c>
      <c r="C27" s="13"/>
      <c r="D27" s="251">
        <v>10.8</v>
      </c>
      <c r="E27" s="171">
        <v>12</v>
      </c>
      <c r="F27" s="366">
        <v>2.8</v>
      </c>
      <c r="G27" s="19">
        <f t="shared" si="7"/>
        <v>-9.1999999999999993</v>
      </c>
      <c r="H27" s="19">
        <f t="shared" si="8"/>
        <v>23.333333333333332</v>
      </c>
      <c r="I27" s="122"/>
      <c r="J27" s="102">
        <v>1032</v>
      </c>
      <c r="K27" s="148">
        <f t="shared" ref="K27:M27" si="12">SUM(D66,)</f>
        <v>3492</v>
      </c>
      <c r="L27" s="148">
        <f t="shared" si="12"/>
        <v>5010</v>
      </c>
      <c r="M27" s="148">
        <f t="shared" si="12"/>
        <v>5599.4</v>
      </c>
      <c r="N27" s="148"/>
      <c r="O27" s="148"/>
    </row>
    <row r="28" spans="1:22" ht="21.75" customHeight="1">
      <c r="A28" s="113"/>
      <c r="B28" s="31" t="s">
        <v>244</v>
      </c>
      <c r="C28" s="13"/>
      <c r="D28" s="251">
        <f>363.5</f>
        <v>363.5</v>
      </c>
      <c r="E28" s="171">
        <v>400</v>
      </c>
      <c r="F28" s="366">
        <f>80+8.1+30+155.5</f>
        <v>273.60000000000002</v>
      </c>
      <c r="G28" s="19">
        <f t="shared" si="7"/>
        <v>-126.39999999999998</v>
      </c>
      <c r="H28" s="19">
        <f t="shared" si="8"/>
        <v>68.400000000000006</v>
      </c>
      <c r="I28" s="115"/>
      <c r="J28" s="102">
        <v>1033</v>
      </c>
      <c r="K28" s="148">
        <f t="shared" ref="K28:M28" si="13">SUM(D67,)</f>
        <v>714.7</v>
      </c>
      <c r="L28" s="148">
        <f t="shared" si="13"/>
        <v>1005</v>
      </c>
      <c r="M28" s="148">
        <f t="shared" si="13"/>
        <v>1095</v>
      </c>
    </row>
    <row r="29" spans="1:22" ht="37.5" customHeight="1">
      <c r="A29" s="113"/>
      <c r="B29" s="31" t="s">
        <v>187</v>
      </c>
      <c r="C29" s="13"/>
      <c r="D29" s="251">
        <v>57.6</v>
      </c>
      <c r="E29" s="171">
        <v>58.5</v>
      </c>
      <c r="F29" s="366">
        <f>5.8+2.2+12.8+3.1+6+16.3+1.9+26.3+36.5+1</f>
        <v>111.9</v>
      </c>
      <c r="G29" s="19">
        <f t="shared" si="7"/>
        <v>53.400000000000006</v>
      </c>
      <c r="H29" s="19">
        <f t="shared" si="8"/>
        <v>191.2820512820513</v>
      </c>
      <c r="I29" s="115"/>
      <c r="J29" s="102">
        <v>1034</v>
      </c>
      <c r="K29" s="148">
        <f t="shared" ref="K29:M29" si="14">SUM(D207)</f>
        <v>2589.4</v>
      </c>
      <c r="L29" s="148">
        <f t="shared" si="14"/>
        <v>2600</v>
      </c>
      <c r="M29" s="148">
        <f t="shared" si="14"/>
        <v>1194.2</v>
      </c>
      <c r="N29" s="115"/>
    </row>
    <row r="30" spans="1:22" ht="21" customHeight="1">
      <c r="A30" s="113"/>
      <c r="B30" s="31" t="s">
        <v>117</v>
      </c>
      <c r="C30" s="13"/>
      <c r="D30" s="253">
        <v>34.799999999999997</v>
      </c>
      <c r="E30" s="171">
        <v>35.099999999999994</v>
      </c>
      <c r="F30" s="362">
        <f>25.9+13+12</f>
        <v>50.9</v>
      </c>
      <c r="G30" s="19">
        <f t="shared" si="7"/>
        <v>15.800000000000004</v>
      </c>
      <c r="H30" s="19">
        <f t="shared" si="8"/>
        <v>145.01424501424503</v>
      </c>
      <c r="I30" s="115"/>
      <c r="J30" s="102">
        <v>1035</v>
      </c>
      <c r="K30" s="148">
        <f>SUM(D68,D201,)</f>
        <v>572.4</v>
      </c>
      <c r="L30" s="148">
        <f>SUM(E68,E201,)</f>
        <v>485</v>
      </c>
      <c r="M30" s="148">
        <f>SUM(F68,F201,)</f>
        <v>249</v>
      </c>
      <c r="N30" s="118"/>
    </row>
    <row r="31" spans="1:22" ht="21" customHeight="1">
      <c r="A31" s="113"/>
      <c r="B31" s="16" t="s">
        <v>118</v>
      </c>
      <c r="C31" s="13"/>
      <c r="D31" s="253"/>
      <c r="E31" s="171">
        <v>3</v>
      </c>
      <c r="F31" s="362">
        <v>3.9</v>
      </c>
      <c r="G31" s="19"/>
      <c r="H31" s="19"/>
      <c r="I31" s="115"/>
      <c r="J31" s="102"/>
      <c r="K31" s="148"/>
      <c r="N31" s="118"/>
    </row>
    <row r="32" spans="1:22" ht="21" customHeight="1">
      <c r="A32" s="113"/>
      <c r="B32" s="31" t="s">
        <v>119</v>
      </c>
      <c r="C32" s="9"/>
      <c r="D32" s="253">
        <v>50.7</v>
      </c>
      <c r="E32" s="171">
        <v>52</v>
      </c>
      <c r="F32" s="362">
        <v>73.8</v>
      </c>
      <c r="G32" s="19">
        <f t="shared" si="7"/>
        <v>21.799999999999997</v>
      </c>
      <c r="H32" s="19">
        <f t="shared" si="8"/>
        <v>141.92307692307691</v>
      </c>
      <c r="J32" s="96"/>
      <c r="K32" s="96"/>
      <c r="L32" s="96"/>
      <c r="M32" s="96"/>
      <c r="N32" s="97"/>
      <c r="R32" s="148"/>
      <c r="T32" s="148"/>
      <c r="V32" s="148"/>
    </row>
    <row r="33" spans="1:25" ht="23.25" customHeight="1">
      <c r="A33" s="113"/>
      <c r="B33" s="123" t="s">
        <v>171</v>
      </c>
      <c r="C33" s="9"/>
      <c r="D33" s="251">
        <v>53.9</v>
      </c>
      <c r="E33" s="171">
        <v>54</v>
      </c>
      <c r="F33" s="366">
        <f>0.8+20.9+8.6+1</f>
        <v>31.299999999999997</v>
      </c>
      <c r="G33" s="19">
        <f t="shared" si="7"/>
        <v>-22.700000000000003</v>
      </c>
      <c r="H33" s="19">
        <f t="shared" si="8"/>
        <v>57.962962962962962</v>
      </c>
      <c r="J33" s="102">
        <v>9000</v>
      </c>
      <c r="K33" s="148">
        <f>K10+K18+K26</f>
        <v>81959.500000000015</v>
      </c>
      <c r="L33" s="148">
        <f>L10+L18+L26</f>
        <v>88887.4</v>
      </c>
      <c r="M33" s="148">
        <f>M10+M18+M26</f>
        <v>93501.200000000012</v>
      </c>
      <c r="N33" s="283"/>
      <c r="R33" s="103"/>
      <c r="S33" s="98"/>
      <c r="T33" s="103"/>
      <c r="U33" s="98"/>
      <c r="V33" s="103"/>
      <c r="W33" s="98"/>
      <c r="X33" s="98"/>
      <c r="Y33" s="98"/>
    </row>
    <row r="34" spans="1:25" ht="22.5" customHeight="1">
      <c r="A34" s="113"/>
      <c r="B34" s="31" t="s">
        <v>121</v>
      </c>
      <c r="C34" s="9"/>
      <c r="D34" s="251">
        <v>19.600000000000001</v>
      </c>
      <c r="E34" s="171">
        <v>26</v>
      </c>
      <c r="F34" s="366">
        <v>11.3</v>
      </c>
      <c r="G34" s="19">
        <f t="shared" si="7"/>
        <v>-14.7</v>
      </c>
      <c r="H34" s="19">
        <f t="shared" si="8"/>
        <v>43.46153846153846</v>
      </c>
      <c r="J34" s="102">
        <v>9010</v>
      </c>
      <c r="K34" s="148">
        <f>K11+K20+K27</f>
        <v>124661.8</v>
      </c>
      <c r="L34" s="148">
        <f>L11+L20+L27</f>
        <v>135944.1</v>
      </c>
      <c r="M34" s="148">
        <f t="shared" ref="M34" si="15">M11+M20+M27</f>
        <v>141741</v>
      </c>
      <c r="N34" s="283"/>
      <c r="R34" s="103"/>
      <c r="S34" s="98"/>
      <c r="T34" s="103"/>
      <c r="U34" s="98"/>
      <c r="V34" s="103"/>
      <c r="W34" s="98"/>
      <c r="X34" s="98"/>
      <c r="Y34" s="98"/>
    </row>
    <row r="35" spans="1:25" ht="22.5" customHeight="1">
      <c r="A35" s="113"/>
      <c r="B35" s="31" t="s">
        <v>316</v>
      </c>
      <c r="C35" s="9"/>
      <c r="D35" s="251">
        <v>32.1</v>
      </c>
      <c r="E35" s="171">
        <v>15</v>
      </c>
      <c r="F35" s="366">
        <v>31.5</v>
      </c>
      <c r="G35" s="19">
        <f t="shared" si="7"/>
        <v>16.5</v>
      </c>
      <c r="H35" s="19">
        <f t="shared" si="8"/>
        <v>210</v>
      </c>
      <c r="J35" s="102"/>
      <c r="K35" s="148"/>
      <c r="N35" s="283"/>
      <c r="R35" s="103"/>
      <c r="S35" s="98"/>
      <c r="T35" s="103"/>
      <c r="U35" s="103"/>
      <c r="V35" s="103"/>
      <c r="W35" s="98"/>
      <c r="X35" s="98"/>
      <c r="Y35" s="98"/>
    </row>
    <row r="36" spans="1:25" ht="56.25" customHeight="1">
      <c r="A36" s="113"/>
      <c r="B36" s="31" t="s">
        <v>297</v>
      </c>
      <c r="C36" s="9"/>
      <c r="D36" s="26"/>
      <c r="E36" s="171"/>
      <c r="F36" s="366">
        <f>204.4+183</f>
        <v>387.4</v>
      </c>
      <c r="G36" s="19">
        <f t="shared" si="7"/>
        <v>387.4</v>
      </c>
      <c r="H36" s="19" t="e">
        <f t="shared" si="8"/>
        <v>#DIV/0!</v>
      </c>
      <c r="J36" s="102">
        <v>9020</v>
      </c>
      <c r="K36" s="148">
        <f>K12+K21+K28</f>
        <v>26787.5</v>
      </c>
      <c r="L36" s="148">
        <f>L12+L21+L28</f>
        <v>29303.5</v>
      </c>
      <c r="M36" s="148">
        <f>M12+M21+M28</f>
        <v>30337.699999999997</v>
      </c>
      <c r="N36" s="283"/>
      <c r="R36" s="103"/>
      <c r="S36" s="98"/>
      <c r="T36" s="103"/>
      <c r="U36" s="98"/>
      <c r="V36" s="103"/>
      <c r="W36" s="98"/>
      <c r="X36" s="98"/>
      <c r="Y36" s="98"/>
    </row>
    <row r="37" spans="1:25" ht="22.5" customHeight="1">
      <c r="A37" s="113"/>
      <c r="B37" s="16" t="s">
        <v>170</v>
      </c>
      <c r="C37" s="124"/>
      <c r="D37" s="26"/>
      <c r="E37" s="171">
        <v>12</v>
      </c>
      <c r="F37" s="366">
        <v>4.8</v>
      </c>
      <c r="G37" s="19">
        <f t="shared" si="7"/>
        <v>-7.2</v>
      </c>
      <c r="H37" s="19">
        <f t="shared" si="8"/>
        <v>40</v>
      </c>
      <c r="J37" s="102">
        <v>9030</v>
      </c>
      <c r="K37" s="148">
        <f>K13+K22+K29</f>
        <v>22157.800000000003</v>
      </c>
      <c r="L37" s="148">
        <f t="shared" ref="L37:M38" si="16">L13+L22+L29</f>
        <v>23400</v>
      </c>
      <c r="M37" s="148">
        <f t="shared" si="16"/>
        <v>26497.800000000003</v>
      </c>
      <c r="N37" s="283"/>
      <c r="R37" s="103"/>
      <c r="S37" s="98"/>
      <c r="T37" s="103"/>
      <c r="U37" s="98"/>
      <c r="V37" s="103"/>
      <c r="W37" s="98"/>
      <c r="X37" s="98"/>
      <c r="Y37" s="98"/>
    </row>
    <row r="38" spans="1:25" ht="131.25" customHeight="1">
      <c r="A38" s="113"/>
      <c r="B38" s="16" t="s">
        <v>347</v>
      </c>
      <c r="C38" s="9"/>
      <c r="D38" s="26">
        <v>465.9</v>
      </c>
      <c r="E38" s="171">
        <v>490</v>
      </c>
      <c r="F38" s="366">
        <v>440</v>
      </c>
      <c r="G38" s="19">
        <f t="shared" si="7"/>
        <v>-50</v>
      </c>
      <c r="H38" s="19">
        <f t="shared" si="8"/>
        <v>89.795918367346943</v>
      </c>
      <c r="J38" s="102">
        <v>9040</v>
      </c>
      <c r="K38" s="148">
        <f t="shared" ref="K38" si="17">K14+K23+K30</f>
        <v>4209.8999999999996</v>
      </c>
      <c r="L38" s="148">
        <f>L14+L23+L30</f>
        <v>5022.3999999999996</v>
      </c>
      <c r="M38" s="148">
        <f t="shared" si="16"/>
        <v>3889.3999999999996</v>
      </c>
      <c r="N38" s="283"/>
      <c r="O38" s="148"/>
      <c r="R38" s="103"/>
      <c r="S38" s="103"/>
      <c r="T38" s="103"/>
      <c r="U38" s="98"/>
      <c r="V38" s="103"/>
      <c r="W38" s="98"/>
      <c r="X38" s="98"/>
      <c r="Y38" s="98"/>
    </row>
    <row r="39" spans="1:25" ht="22.5" customHeight="1">
      <c r="A39" s="113"/>
      <c r="B39" s="173" t="s">
        <v>345</v>
      </c>
      <c r="C39" s="9"/>
      <c r="D39" s="26"/>
      <c r="E39" s="171">
        <v>0.2</v>
      </c>
      <c r="F39" s="366"/>
      <c r="G39" s="19"/>
      <c r="H39" s="19"/>
      <c r="J39" s="102"/>
      <c r="K39" s="148"/>
    </row>
    <row r="40" spans="1:25" ht="21.75" customHeight="1">
      <c r="A40" s="113"/>
      <c r="B40" s="31" t="s">
        <v>245</v>
      </c>
      <c r="C40" s="9"/>
      <c r="D40" s="26">
        <v>19</v>
      </c>
      <c r="E40" s="171">
        <v>7.5</v>
      </c>
      <c r="F40" s="366">
        <v>7.8</v>
      </c>
      <c r="G40" s="19">
        <f t="shared" si="7"/>
        <v>0.29999999999999982</v>
      </c>
      <c r="H40" s="19">
        <f t="shared" si="8"/>
        <v>104</v>
      </c>
      <c r="I40" s="148"/>
      <c r="J40" s="102">
        <v>9050</v>
      </c>
      <c r="K40" s="103">
        <f>SUM(K33:K38)</f>
        <v>259776.50000000003</v>
      </c>
      <c r="L40" s="103">
        <f>SUM(L33:L38)</f>
        <v>282557.40000000002</v>
      </c>
      <c r="M40" s="103">
        <f>SUM(M33:M38)</f>
        <v>295967.10000000003</v>
      </c>
    </row>
    <row r="41" spans="1:25" ht="20.25" customHeight="1">
      <c r="A41" s="113"/>
      <c r="B41" s="31" t="s">
        <v>143</v>
      </c>
      <c r="C41" s="9"/>
      <c r="D41" s="26">
        <v>0.5</v>
      </c>
      <c r="E41" s="171">
        <v>0.89999999999999991</v>
      </c>
      <c r="F41" s="366"/>
      <c r="G41" s="19">
        <f t="shared" si="7"/>
        <v>-0.89999999999999991</v>
      </c>
      <c r="H41" s="19">
        <f t="shared" si="8"/>
        <v>0</v>
      </c>
      <c r="I41" s="30"/>
      <c r="J41" s="262"/>
      <c r="O41" s="148"/>
    </row>
    <row r="42" spans="1:25" ht="21" customHeight="1">
      <c r="A42" s="113"/>
      <c r="B42" s="31" t="s">
        <v>208</v>
      </c>
      <c r="C42" s="9"/>
      <c r="D42" s="26">
        <v>81</v>
      </c>
      <c r="E42" s="171">
        <v>83</v>
      </c>
      <c r="F42" s="366">
        <v>89.2</v>
      </c>
      <c r="G42" s="19">
        <f t="shared" si="7"/>
        <v>6.2000000000000028</v>
      </c>
      <c r="H42" s="19">
        <f t="shared" si="8"/>
        <v>107.4698795180723</v>
      </c>
      <c r="I42" s="30"/>
      <c r="J42" s="262"/>
      <c r="L42" s="103"/>
      <c r="O42" s="148"/>
      <c r="P42" s="279"/>
      <c r="Q42" s="279"/>
      <c r="R42" s="284"/>
    </row>
    <row r="43" spans="1:25" ht="113.25" customHeight="1">
      <c r="A43" s="113"/>
      <c r="B43" s="16" t="s">
        <v>387</v>
      </c>
      <c r="C43" s="9"/>
      <c r="D43" s="26"/>
      <c r="E43" s="171">
        <v>320</v>
      </c>
      <c r="F43" s="366">
        <v>183.4</v>
      </c>
      <c r="G43" s="19"/>
      <c r="H43" s="19"/>
      <c r="J43" s="262"/>
      <c r="P43" s="279"/>
      <c r="Q43" s="279"/>
      <c r="R43" s="284"/>
    </row>
    <row r="44" spans="1:25" ht="20.25" customHeight="1">
      <c r="A44" s="113"/>
      <c r="B44" s="31" t="s">
        <v>127</v>
      </c>
      <c r="C44" s="9"/>
      <c r="D44" s="26">
        <v>194</v>
      </c>
      <c r="E44" s="171">
        <v>340</v>
      </c>
      <c r="F44" s="366">
        <v>122.9</v>
      </c>
      <c r="G44" s="19">
        <f t="shared" si="7"/>
        <v>-217.1</v>
      </c>
      <c r="H44" s="19">
        <f t="shared" si="8"/>
        <v>36.147058823529413</v>
      </c>
      <c r="J44" s="262"/>
      <c r="P44" s="35"/>
      <c r="Q44" s="35"/>
      <c r="R44" s="35"/>
    </row>
    <row r="45" spans="1:25" ht="24" customHeight="1">
      <c r="A45" s="113"/>
      <c r="B45" s="31" t="s">
        <v>156</v>
      </c>
      <c r="C45" s="9"/>
      <c r="D45" s="26">
        <v>432.9</v>
      </c>
      <c r="E45" s="171">
        <v>460</v>
      </c>
      <c r="F45" s="366">
        <v>383.4</v>
      </c>
      <c r="G45" s="19">
        <f t="shared" si="7"/>
        <v>-76.600000000000023</v>
      </c>
      <c r="H45" s="19">
        <f t="shared" si="8"/>
        <v>83.347826086956516</v>
      </c>
      <c r="R45" s="118"/>
    </row>
    <row r="46" spans="1:25" ht="21" customHeight="1">
      <c r="A46" s="113"/>
      <c r="B46" s="31" t="s">
        <v>287</v>
      </c>
      <c r="C46" s="9"/>
      <c r="D46" s="26">
        <v>33.4</v>
      </c>
      <c r="E46" s="171">
        <v>35</v>
      </c>
      <c r="F46" s="366">
        <v>57.4</v>
      </c>
      <c r="G46" s="19"/>
      <c r="H46" s="19"/>
      <c r="J46" s="262"/>
    </row>
    <row r="47" spans="1:25" ht="21" customHeight="1">
      <c r="A47" s="113"/>
      <c r="B47" s="16" t="s">
        <v>214</v>
      </c>
      <c r="C47" s="9"/>
      <c r="D47" s="26">
        <v>15.3</v>
      </c>
      <c r="E47" s="171"/>
      <c r="F47" s="366"/>
      <c r="G47" s="19"/>
      <c r="H47" s="19"/>
      <c r="J47" s="262"/>
    </row>
    <row r="48" spans="1:25" ht="95.25" customHeight="1">
      <c r="A48" s="113"/>
      <c r="B48" s="16" t="s">
        <v>288</v>
      </c>
      <c r="C48" s="9"/>
      <c r="D48" s="26">
        <v>301.8</v>
      </c>
      <c r="E48" s="171">
        <v>250</v>
      </c>
      <c r="F48" s="366"/>
      <c r="G48" s="19"/>
      <c r="H48" s="19"/>
      <c r="J48" s="262"/>
    </row>
    <row r="49" spans="1:13" ht="39.75" customHeight="1">
      <c r="A49" s="113"/>
      <c r="B49" s="16" t="s">
        <v>298</v>
      </c>
      <c r="C49" s="9"/>
      <c r="D49" s="26">
        <v>49.1</v>
      </c>
      <c r="E49" s="26"/>
      <c r="F49" s="366">
        <v>6.9</v>
      </c>
      <c r="G49" s="19"/>
      <c r="H49" s="19"/>
    </row>
    <row r="50" spans="1:13" ht="21.75" customHeight="1">
      <c r="A50" s="108" t="s">
        <v>74</v>
      </c>
      <c r="B50" s="125" t="s">
        <v>77</v>
      </c>
      <c r="C50" s="109">
        <v>1020</v>
      </c>
      <c r="D50" s="110">
        <f>SUM(D51,D55,D56,D57)</f>
        <v>10342</v>
      </c>
      <c r="E50" s="110">
        <f>SUM(E51,E55,E56,E57)</f>
        <v>13357</v>
      </c>
      <c r="F50" s="370">
        <f>SUM(F51,F55,F56,F57)</f>
        <v>14208.900000000001</v>
      </c>
      <c r="G50" s="111">
        <f t="shared" si="7"/>
        <v>851.90000000000146</v>
      </c>
      <c r="H50" s="111">
        <f t="shared" si="8"/>
        <v>106.37792917571312</v>
      </c>
    </row>
    <row r="51" spans="1:13" s="98" customFormat="1" ht="20.25" customHeight="1">
      <c r="A51" s="112" t="s">
        <v>160</v>
      </c>
      <c r="B51" s="106" t="s">
        <v>89</v>
      </c>
      <c r="C51" s="119">
        <v>1021</v>
      </c>
      <c r="D51" s="117">
        <f>SUM(D52:D53)</f>
        <v>85</v>
      </c>
      <c r="E51" s="117">
        <f>SUM(E52:E54)</f>
        <v>107</v>
      </c>
      <c r="F51" s="371">
        <f>SUM(F52:F53)</f>
        <v>42.1</v>
      </c>
      <c r="G51" s="120">
        <f t="shared" si="7"/>
        <v>-64.900000000000006</v>
      </c>
      <c r="H51" s="120">
        <f t="shared" si="8"/>
        <v>39.345794392523366</v>
      </c>
      <c r="J51" s="102"/>
      <c r="K51" s="103"/>
      <c r="L51" s="103"/>
      <c r="M51" s="103"/>
    </row>
    <row r="52" spans="1:13" ht="20.25" customHeight="1">
      <c r="A52" s="95"/>
      <c r="B52" s="31" t="s">
        <v>137</v>
      </c>
      <c r="C52" s="9"/>
      <c r="D52" s="26">
        <v>85</v>
      </c>
      <c r="E52" s="217">
        <v>90</v>
      </c>
      <c r="F52" s="366">
        <v>42.1</v>
      </c>
      <c r="G52" s="19">
        <f t="shared" si="7"/>
        <v>-47.9</v>
      </c>
      <c r="H52" s="19">
        <f t="shared" si="8"/>
        <v>46.777777777777779</v>
      </c>
    </row>
    <row r="53" spans="1:13" ht="22.5" customHeight="1">
      <c r="A53" s="95"/>
      <c r="B53" s="31" t="s">
        <v>111</v>
      </c>
      <c r="C53" s="9"/>
      <c r="D53" s="26"/>
      <c r="E53" s="217">
        <v>7</v>
      </c>
      <c r="F53" s="366"/>
      <c r="G53" s="19">
        <f t="shared" si="7"/>
        <v>-7</v>
      </c>
      <c r="H53" s="142" t="e">
        <f t="shared" ref="H53" si="18">G53/F53*100</f>
        <v>#DIV/0!</v>
      </c>
    </row>
    <row r="54" spans="1:13" ht="36" customHeight="1">
      <c r="A54" s="95"/>
      <c r="B54" s="16" t="s">
        <v>290</v>
      </c>
      <c r="C54" s="9"/>
      <c r="D54" s="26"/>
      <c r="E54" s="217">
        <v>10</v>
      </c>
      <c r="F54" s="366"/>
      <c r="G54" s="19"/>
      <c r="H54" s="142"/>
    </row>
    <row r="55" spans="1:13" s="98" customFormat="1" ht="18" customHeight="1">
      <c r="A55" s="112" t="s">
        <v>161</v>
      </c>
      <c r="B55" s="106" t="s">
        <v>1</v>
      </c>
      <c r="C55" s="119">
        <v>1022</v>
      </c>
      <c r="D55" s="252">
        <v>8197.5</v>
      </c>
      <c r="E55" s="220">
        <v>10350</v>
      </c>
      <c r="F55" s="371">
        <v>11199.7</v>
      </c>
      <c r="G55" s="120">
        <f t="shared" si="7"/>
        <v>849.70000000000073</v>
      </c>
      <c r="H55" s="120">
        <f t="shared" si="8"/>
        <v>108.2096618357488</v>
      </c>
      <c r="J55" s="102"/>
      <c r="K55" s="103"/>
      <c r="L55" s="103"/>
      <c r="M55" s="103"/>
    </row>
    <row r="56" spans="1:13" s="98" customFormat="1" ht="21.75" customHeight="1">
      <c r="A56" s="112" t="s">
        <v>162</v>
      </c>
      <c r="B56" s="106" t="s">
        <v>2</v>
      </c>
      <c r="C56" s="119">
        <v>1023</v>
      </c>
      <c r="D56" s="252">
        <v>1571.5</v>
      </c>
      <c r="E56" s="220">
        <v>2055</v>
      </c>
      <c r="F56" s="371">
        <v>2185.3000000000002</v>
      </c>
      <c r="G56" s="120">
        <f t="shared" si="7"/>
        <v>130.30000000000018</v>
      </c>
      <c r="H56" s="120">
        <f t="shared" si="8"/>
        <v>106.34063260340633</v>
      </c>
      <c r="J56" s="102"/>
      <c r="K56" s="103"/>
      <c r="L56" s="103"/>
      <c r="M56" s="103"/>
    </row>
    <row r="57" spans="1:13" s="98" customFormat="1" ht="17.25" customHeight="1">
      <c r="A57" s="112" t="s">
        <v>231</v>
      </c>
      <c r="B57" s="126" t="s">
        <v>148</v>
      </c>
      <c r="C57" s="119">
        <v>1025</v>
      </c>
      <c r="D57" s="172">
        <f>SUM(D58:D63)</f>
        <v>488.00000000000006</v>
      </c>
      <c r="E57" s="172">
        <f>SUM(E58:E64)</f>
        <v>845</v>
      </c>
      <c r="F57" s="372">
        <f>SUM(F58:F63)</f>
        <v>781.8</v>
      </c>
      <c r="G57" s="120">
        <f t="shared" si="7"/>
        <v>-63.200000000000045</v>
      </c>
      <c r="H57" s="120">
        <f t="shared" si="8"/>
        <v>92.520710059171591</v>
      </c>
      <c r="J57" s="102"/>
      <c r="K57" s="103"/>
      <c r="L57" s="103"/>
      <c r="M57" s="103"/>
    </row>
    <row r="58" spans="1:13" ht="17.25" customHeight="1">
      <c r="A58" s="95"/>
      <c r="B58" s="31" t="s">
        <v>235</v>
      </c>
      <c r="C58" s="13"/>
      <c r="D58" s="251">
        <v>3</v>
      </c>
      <c r="E58" s="221"/>
      <c r="F58" s="366">
        <v>3.2</v>
      </c>
      <c r="G58" s="19">
        <f t="shared" si="7"/>
        <v>3.2</v>
      </c>
      <c r="H58" s="19"/>
    </row>
    <row r="59" spans="1:13" ht="18" customHeight="1">
      <c r="A59" s="95"/>
      <c r="B59" s="28" t="s">
        <v>113</v>
      </c>
      <c r="C59" s="9"/>
      <c r="D59" s="253">
        <v>83.8</v>
      </c>
      <c r="E59" s="171">
        <v>90</v>
      </c>
      <c r="F59" s="362">
        <v>64.099999999999994</v>
      </c>
      <c r="G59" s="19">
        <f t="shared" si="7"/>
        <v>-25.900000000000006</v>
      </c>
      <c r="H59" s="19">
        <f t="shared" si="8"/>
        <v>71.222222222222214</v>
      </c>
    </row>
    <row r="60" spans="1:13" ht="18" customHeight="1">
      <c r="A60" s="95"/>
      <c r="B60" s="31" t="s">
        <v>169</v>
      </c>
      <c r="C60" s="9"/>
      <c r="D60" s="253">
        <v>180</v>
      </c>
      <c r="E60" s="171">
        <v>210</v>
      </c>
      <c r="F60" s="362">
        <v>199.7</v>
      </c>
      <c r="G60" s="19">
        <f t="shared" si="7"/>
        <v>-10.300000000000011</v>
      </c>
      <c r="H60" s="19">
        <f t="shared" si="8"/>
        <v>95.095238095238088</v>
      </c>
    </row>
    <row r="61" spans="1:13" ht="36.75" customHeight="1">
      <c r="A61" s="95"/>
      <c r="B61" s="173" t="s">
        <v>289</v>
      </c>
      <c r="C61" s="9"/>
      <c r="D61" s="253">
        <v>83.4</v>
      </c>
      <c r="E61" s="171">
        <v>120</v>
      </c>
      <c r="F61" s="362">
        <v>205.9</v>
      </c>
      <c r="G61" s="19"/>
      <c r="H61" s="19"/>
    </row>
    <row r="62" spans="1:13" ht="18" customHeight="1">
      <c r="A62" s="95"/>
      <c r="B62" s="31" t="s">
        <v>145</v>
      </c>
      <c r="C62" s="9"/>
      <c r="D62" s="253">
        <v>55</v>
      </c>
      <c r="E62" s="171">
        <v>75</v>
      </c>
      <c r="F62" s="362">
        <v>95.6</v>
      </c>
      <c r="G62" s="19">
        <f t="shared" ref="G62:G65" si="19">F62-E62</f>
        <v>20.599999999999994</v>
      </c>
      <c r="H62" s="19">
        <f t="shared" si="8"/>
        <v>127.46666666666667</v>
      </c>
    </row>
    <row r="63" spans="1:13" ht="18" customHeight="1">
      <c r="A63" s="95"/>
      <c r="B63" s="16" t="s">
        <v>146</v>
      </c>
      <c r="C63" s="9"/>
      <c r="D63" s="251">
        <v>82.8</v>
      </c>
      <c r="E63" s="171">
        <v>100</v>
      </c>
      <c r="F63" s="366">
        <v>213.3</v>
      </c>
      <c r="G63" s="19">
        <f t="shared" si="19"/>
        <v>113.30000000000001</v>
      </c>
      <c r="H63" s="19">
        <f t="shared" si="8"/>
        <v>213.3</v>
      </c>
    </row>
    <row r="64" spans="1:13" ht="36.75" customHeight="1">
      <c r="A64" s="95"/>
      <c r="B64" s="28" t="s">
        <v>346</v>
      </c>
      <c r="C64" s="9"/>
      <c r="D64" s="26"/>
      <c r="E64" s="171">
        <v>250</v>
      </c>
      <c r="F64" s="366"/>
      <c r="G64" s="19"/>
      <c r="H64" s="19"/>
    </row>
    <row r="65" spans="1:13" ht="21" customHeight="1">
      <c r="A65" s="108" t="s">
        <v>163</v>
      </c>
      <c r="B65" s="127" t="s">
        <v>10</v>
      </c>
      <c r="C65" s="109">
        <v>1030</v>
      </c>
      <c r="D65" s="110">
        <f>SUM(D66,D67,D68)</f>
        <v>4664.0999999999995</v>
      </c>
      <c r="E65" s="110">
        <f>SUM(E66,E67,E68)</f>
        <v>6500</v>
      </c>
      <c r="F65" s="370">
        <f>SUM(F66,F67,F68)</f>
        <v>6872.9</v>
      </c>
      <c r="G65" s="111">
        <f t="shared" si="19"/>
        <v>372.89999999999964</v>
      </c>
      <c r="H65" s="111">
        <f t="shared" ref="H65" si="20">(F65/E65)*100</f>
        <v>105.73692307692306</v>
      </c>
    </row>
    <row r="66" spans="1:13" s="98" customFormat="1" ht="23.25" customHeight="1">
      <c r="A66" s="112" t="s">
        <v>232</v>
      </c>
      <c r="B66" s="126" t="s">
        <v>1</v>
      </c>
      <c r="C66" s="119">
        <v>1032</v>
      </c>
      <c r="D66" s="252">
        <v>3492</v>
      </c>
      <c r="E66" s="222">
        <v>5010</v>
      </c>
      <c r="F66" s="371">
        <v>5599.4</v>
      </c>
      <c r="G66" s="120">
        <f t="shared" ref="G66" si="21">F66-E66</f>
        <v>589.39999999999964</v>
      </c>
      <c r="H66" s="120">
        <f t="shared" ref="H66" si="22">(F66/E66)*100</f>
        <v>111.76447105788424</v>
      </c>
      <c r="J66" s="102"/>
      <c r="K66" s="103"/>
      <c r="L66" s="103"/>
      <c r="M66" s="103"/>
    </row>
    <row r="67" spans="1:13" s="98" customFormat="1" ht="22.5" customHeight="1">
      <c r="A67" s="112" t="s">
        <v>197</v>
      </c>
      <c r="B67" s="126" t="s">
        <v>199</v>
      </c>
      <c r="C67" s="128">
        <v>1033</v>
      </c>
      <c r="D67" s="252">
        <v>714.7</v>
      </c>
      <c r="E67" s="223">
        <v>1005</v>
      </c>
      <c r="F67" s="371">
        <v>1095</v>
      </c>
      <c r="G67" s="120">
        <f t="shared" ref="G67:G69" si="23">F67-E67</f>
        <v>90</v>
      </c>
      <c r="H67" s="120">
        <f t="shared" ref="H67:H69" si="24">(F67/E67)*100</f>
        <v>108.95522388059702</v>
      </c>
      <c r="J67" s="102"/>
      <c r="K67" s="103"/>
      <c r="L67" s="103"/>
      <c r="M67" s="103"/>
    </row>
    <row r="68" spans="1:13" s="98" customFormat="1" ht="21" customHeight="1">
      <c r="A68" s="112" t="s">
        <v>198</v>
      </c>
      <c r="B68" s="106" t="s">
        <v>193</v>
      </c>
      <c r="C68" s="119">
        <v>1035</v>
      </c>
      <c r="D68" s="117">
        <f>D69+D70</f>
        <v>457.4</v>
      </c>
      <c r="E68" s="117">
        <f t="shared" ref="E68" si="25">E69+E70</f>
        <v>485</v>
      </c>
      <c r="F68" s="371">
        <f>F69+F70</f>
        <v>178.5</v>
      </c>
      <c r="G68" s="120">
        <f t="shared" si="23"/>
        <v>-306.5</v>
      </c>
      <c r="H68" s="120">
        <f t="shared" si="24"/>
        <v>36.80412371134021</v>
      </c>
      <c r="J68" s="102"/>
      <c r="K68" s="103"/>
      <c r="L68" s="103"/>
      <c r="M68" s="103"/>
    </row>
    <row r="69" spans="1:13" ht="23.25" customHeight="1">
      <c r="A69" s="95"/>
      <c r="B69" s="31" t="s">
        <v>128</v>
      </c>
      <c r="C69" s="9"/>
      <c r="D69" s="251">
        <v>122.6</v>
      </c>
      <c r="E69" s="171">
        <v>135</v>
      </c>
      <c r="F69" s="366">
        <v>178.5</v>
      </c>
      <c r="G69" s="19">
        <f t="shared" si="23"/>
        <v>43.5</v>
      </c>
      <c r="H69" s="19">
        <f t="shared" si="24"/>
        <v>132.22222222222223</v>
      </c>
    </row>
    <row r="70" spans="1:13" ht="24.75" customHeight="1">
      <c r="A70" s="95"/>
      <c r="B70" s="28" t="s">
        <v>132</v>
      </c>
      <c r="C70" s="9"/>
      <c r="D70" s="251">
        <v>334.8</v>
      </c>
      <c r="E70" s="171">
        <v>350</v>
      </c>
      <c r="F70" s="366"/>
      <c r="G70" s="19">
        <f t="shared" ref="G70:G75" si="26">F70-E70</f>
        <v>-350</v>
      </c>
      <c r="H70" s="19">
        <f t="shared" ref="H70:H75" si="27">(F70/E70)*100</f>
        <v>0</v>
      </c>
    </row>
    <row r="71" spans="1:13" ht="101.25" customHeight="1">
      <c r="A71" s="174" t="s">
        <v>78</v>
      </c>
      <c r="B71" s="166" t="s">
        <v>408</v>
      </c>
      <c r="C71" s="9"/>
      <c r="D71" s="27">
        <f>D73</f>
        <v>776.5</v>
      </c>
      <c r="E71" s="175">
        <f>E73</f>
        <v>878.4</v>
      </c>
      <c r="F71" s="360">
        <f>F73</f>
        <v>789.3</v>
      </c>
      <c r="G71" s="19">
        <f t="shared" si="26"/>
        <v>-89.100000000000023</v>
      </c>
      <c r="H71" s="19">
        <f t="shared" si="27"/>
        <v>89.856557377049171</v>
      </c>
    </row>
    <row r="72" spans="1:13" ht="21" customHeight="1">
      <c r="A72" s="138"/>
      <c r="B72" s="106" t="s">
        <v>72</v>
      </c>
      <c r="C72" s="9"/>
      <c r="D72" s="26"/>
      <c r="E72" s="171"/>
      <c r="F72" s="366"/>
      <c r="G72" s="19"/>
      <c r="H72" s="19"/>
    </row>
    <row r="73" spans="1:13" ht="39" customHeight="1">
      <c r="A73" s="139" t="s">
        <v>154</v>
      </c>
      <c r="B73" s="20" t="s">
        <v>76</v>
      </c>
      <c r="C73" s="109">
        <v>1010</v>
      </c>
      <c r="D73" s="140">
        <f t="shared" ref="D73" si="28">D74+D75</f>
        <v>776.5</v>
      </c>
      <c r="E73" s="140">
        <f t="shared" ref="E73:F73" si="29">E74+E75</f>
        <v>878.4</v>
      </c>
      <c r="F73" s="373">
        <f t="shared" si="29"/>
        <v>789.3</v>
      </c>
      <c r="G73" s="111">
        <f t="shared" si="26"/>
        <v>-89.100000000000023</v>
      </c>
      <c r="H73" s="156">
        <f t="shared" si="27"/>
        <v>89.856557377049171</v>
      </c>
    </row>
    <row r="74" spans="1:13" ht="24.75" customHeight="1">
      <c r="A74" s="141" t="s">
        <v>203</v>
      </c>
      <c r="B74" s="106" t="s">
        <v>1</v>
      </c>
      <c r="C74" s="119">
        <v>1012</v>
      </c>
      <c r="D74" s="251">
        <v>636.5</v>
      </c>
      <c r="E74" s="219">
        <v>720</v>
      </c>
      <c r="F74" s="371">
        <v>647</v>
      </c>
      <c r="G74" s="120">
        <f t="shared" si="26"/>
        <v>-73</v>
      </c>
      <c r="H74" s="144">
        <f t="shared" si="27"/>
        <v>89.861111111111114</v>
      </c>
    </row>
    <row r="75" spans="1:13" ht="22.5" customHeight="1">
      <c r="A75" s="141" t="s">
        <v>164</v>
      </c>
      <c r="B75" s="106" t="s">
        <v>2</v>
      </c>
      <c r="C75" s="119">
        <v>1013</v>
      </c>
      <c r="D75" s="251">
        <v>140</v>
      </c>
      <c r="E75" s="219">
        <v>158.4</v>
      </c>
      <c r="F75" s="371">
        <v>142.30000000000001</v>
      </c>
      <c r="G75" s="120">
        <f t="shared" si="26"/>
        <v>-16.099999999999994</v>
      </c>
      <c r="H75" s="144">
        <f t="shared" si="27"/>
        <v>89.835858585858588</v>
      </c>
    </row>
    <row r="76" spans="1:13" ht="64.5" customHeight="1">
      <c r="A76" s="95" t="s">
        <v>225</v>
      </c>
      <c r="B76" s="168" t="s">
        <v>182</v>
      </c>
      <c r="C76" s="9"/>
      <c r="D76" s="27">
        <f t="shared" ref="D76" si="30">SUM(D78)</f>
        <v>123.4</v>
      </c>
      <c r="E76" s="27">
        <f t="shared" ref="E76:F76" si="31">SUM(E78)</f>
        <v>152.1</v>
      </c>
      <c r="F76" s="364">
        <f t="shared" si="31"/>
        <v>163.6</v>
      </c>
      <c r="G76" s="63">
        <f t="shared" ref="G76:G83" si="32">F76-E76</f>
        <v>11.5</v>
      </c>
      <c r="H76" s="63">
        <f t="shared" ref="H76:H83" si="33">(F76/E76)*100</f>
        <v>107.56081525312295</v>
      </c>
    </row>
    <row r="77" spans="1:13" ht="24" customHeight="1">
      <c r="A77" s="95"/>
      <c r="B77" s="106" t="s">
        <v>72</v>
      </c>
      <c r="C77" s="9"/>
      <c r="D77" s="27"/>
      <c r="E77" s="27"/>
      <c r="F77" s="364"/>
      <c r="G77" s="63"/>
      <c r="H77" s="63"/>
    </row>
    <row r="78" spans="1:13" ht="40.5" customHeight="1">
      <c r="A78" s="108" t="s">
        <v>226</v>
      </c>
      <c r="B78" s="20" t="s">
        <v>76</v>
      </c>
      <c r="C78" s="109">
        <v>1010</v>
      </c>
      <c r="D78" s="110">
        <f>SUM(D79,D84,D85)</f>
        <v>123.4</v>
      </c>
      <c r="E78" s="110">
        <f>SUM(E79,E84,E85)</f>
        <v>152.1</v>
      </c>
      <c r="F78" s="370">
        <f>SUM(F79,F84,F85)</f>
        <v>163.6</v>
      </c>
      <c r="G78" s="111">
        <f t="shared" si="32"/>
        <v>11.5</v>
      </c>
      <c r="H78" s="111">
        <f t="shared" si="33"/>
        <v>107.56081525312295</v>
      </c>
    </row>
    <row r="79" spans="1:13" s="98" customFormat="1" ht="22.5" customHeight="1">
      <c r="A79" s="112" t="s">
        <v>227</v>
      </c>
      <c r="B79" s="106" t="s">
        <v>200</v>
      </c>
      <c r="C79" s="119">
        <v>1011</v>
      </c>
      <c r="D79" s="117">
        <f>D80+D81+D82+D83</f>
        <v>17.3</v>
      </c>
      <c r="E79" s="117">
        <f>E80+E81+E82+E83</f>
        <v>12.899999999999999</v>
      </c>
      <c r="F79" s="371">
        <f>F80+F81+F82+F83</f>
        <v>10.899999999999999</v>
      </c>
      <c r="G79" s="120">
        <f t="shared" si="32"/>
        <v>-2</v>
      </c>
      <c r="H79" s="143">
        <f t="shared" si="33"/>
        <v>84.496124031007753</v>
      </c>
      <c r="J79" s="102"/>
      <c r="K79" s="103"/>
      <c r="L79" s="103"/>
      <c r="M79" s="103"/>
    </row>
    <row r="80" spans="1:13" s="98" customFormat="1" ht="22.5" customHeight="1">
      <c r="A80" s="112"/>
      <c r="B80" s="16" t="s">
        <v>122</v>
      </c>
      <c r="C80" s="119"/>
      <c r="D80" s="251">
        <v>9.4</v>
      </c>
      <c r="E80" s="117">
        <v>7.1</v>
      </c>
      <c r="F80" s="371">
        <v>6</v>
      </c>
      <c r="G80" s="120"/>
      <c r="H80" s="143"/>
      <c r="J80" s="102"/>
      <c r="K80" s="103"/>
      <c r="L80" s="103"/>
      <c r="M80" s="103"/>
    </row>
    <row r="81" spans="1:13" s="98" customFormat="1" ht="22.5" customHeight="1">
      <c r="A81" s="112"/>
      <c r="B81" s="16" t="s">
        <v>123</v>
      </c>
      <c r="C81" s="119"/>
      <c r="D81" s="251">
        <v>0.6</v>
      </c>
      <c r="E81" s="117">
        <v>0.4</v>
      </c>
      <c r="F81" s="371">
        <v>0.4</v>
      </c>
      <c r="G81" s="120"/>
      <c r="H81" s="143"/>
      <c r="J81" s="102"/>
      <c r="K81" s="103"/>
      <c r="L81" s="103"/>
      <c r="M81" s="103"/>
    </row>
    <row r="82" spans="1:13" s="98" customFormat="1" ht="22.5" customHeight="1">
      <c r="A82" s="112"/>
      <c r="B82" s="16" t="s">
        <v>124</v>
      </c>
      <c r="C82" s="119"/>
      <c r="D82" s="251">
        <v>7</v>
      </c>
      <c r="E82" s="117">
        <v>5.2</v>
      </c>
      <c r="F82" s="371">
        <v>4.3</v>
      </c>
      <c r="G82" s="120"/>
      <c r="H82" s="143"/>
      <c r="J82" s="102"/>
      <c r="K82" s="103"/>
      <c r="L82" s="103"/>
      <c r="M82" s="103"/>
    </row>
    <row r="83" spans="1:13" ht="21" customHeight="1">
      <c r="A83" s="113"/>
      <c r="B83" s="16" t="s">
        <v>125</v>
      </c>
      <c r="C83" s="9"/>
      <c r="D83" s="251">
        <v>0.3</v>
      </c>
      <c r="E83" s="26">
        <v>0.2</v>
      </c>
      <c r="F83" s="366">
        <v>0.2</v>
      </c>
      <c r="G83" s="19">
        <f t="shared" si="32"/>
        <v>0</v>
      </c>
      <c r="H83" s="142">
        <f t="shared" si="33"/>
        <v>100</v>
      </c>
    </row>
    <row r="84" spans="1:13" ht="24.75" customHeight="1">
      <c r="A84" s="112" t="s">
        <v>265</v>
      </c>
      <c r="B84" s="126" t="s">
        <v>1</v>
      </c>
      <c r="C84" s="119">
        <v>1012</v>
      </c>
      <c r="D84" s="252">
        <v>87</v>
      </c>
      <c r="E84" s="219">
        <v>114.1</v>
      </c>
      <c r="F84" s="371">
        <v>125.2</v>
      </c>
      <c r="G84" s="120">
        <f>F84-E84</f>
        <v>11.100000000000009</v>
      </c>
      <c r="H84" s="120">
        <f>(F84/E84)*100</f>
        <v>109.72830850131466</v>
      </c>
    </row>
    <row r="85" spans="1:13" ht="24.75" customHeight="1">
      <c r="A85" s="112" t="s">
        <v>266</v>
      </c>
      <c r="B85" s="126" t="s">
        <v>2</v>
      </c>
      <c r="C85" s="119">
        <v>1013</v>
      </c>
      <c r="D85" s="252">
        <v>19.100000000000001</v>
      </c>
      <c r="E85" s="219">
        <v>25.1</v>
      </c>
      <c r="F85" s="371">
        <v>27.5</v>
      </c>
      <c r="G85" s="120">
        <f>F85-E85</f>
        <v>2.3999999999999986</v>
      </c>
      <c r="H85" s="120">
        <f>(F85/E85)*100</f>
        <v>109.5617529880478</v>
      </c>
    </row>
    <row r="86" spans="1:13" ht="60" customHeight="1">
      <c r="A86" s="242" t="s">
        <v>86</v>
      </c>
      <c r="B86" s="166" t="s">
        <v>362</v>
      </c>
      <c r="C86" s="243"/>
      <c r="D86" s="254">
        <f>D88</f>
        <v>73.900000000000006</v>
      </c>
      <c r="E86" s="219"/>
      <c r="F86" s="371"/>
      <c r="G86" s="120"/>
      <c r="H86" s="120"/>
    </row>
    <row r="87" spans="1:13" ht="24.75" customHeight="1">
      <c r="A87" s="244"/>
      <c r="B87" s="106" t="s">
        <v>72</v>
      </c>
      <c r="C87" s="243"/>
      <c r="D87" s="251"/>
      <c r="E87" s="219"/>
      <c r="F87" s="371"/>
      <c r="G87" s="120"/>
      <c r="H87" s="120"/>
    </row>
    <row r="88" spans="1:13" ht="42" customHeight="1">
      <c r="A88" s="245" t="s">
        <v>165</v>
      </c>
      <c r="B88" s="20" t="s">
        <v>76</v>
      </c>
      <c r="C88" s="246">
        <v>1010</v>
      </c>
      <c r="D88" s="254">
        <f>D89+D90</f>
        <v>73.900000000000006</v>
      </c>
      <c r="E88" s="219"/>
      <c r="F88" s="371"/>
      <c r="G88" s="120"/>
      <c r="H88" s="120"/>
    </row>
    <row r="89" spans="1:13" ht="24.75" customHeight="1">
      <c r="A89" s="247" t="s">
        <v>166</v>
      </c>
      <c r="B89" s="126" t="s">
        <v>1</v>
      </c>
      <c r="C89" s="241">
        <v>1012</v>
      </c>
      <c r="D89" s="251">
        <v>60.5</v>
      </c>
      <c r="E89" s="219"/>
      <c r="F89" s="371"/>
      <c r="G89" s="120"/>
      <c r="H89" s="120"/>
    </row>
    <row r="90" spans="1:13" ht="24.75" customHeight="1">
      <c r="A90" s="247" t="s">
        <v>363</v>
      </c>
      <c r="B90" s="126" t="s">
        <v>2</v>
      </c>
      <c r="C90" s="241">
        <v>1013</v>
      </c>
      <c r="D90" s="251">
        <v>13.4</v>
      </c>
      <c r="E90" s="219"/>
      <c r="F90" s="371"/>
      <c r="G90" s="120"/>
      <c r="H90" s="120"/>
    </row>
    <row r="91" spans="1:13" ht="60.75" customHeight="1">
      <c r="A91" s="242" t="s">
        <v>87</v>
      </c>
      <c r="B91" s="166" t="s">
        <v>172</v>
      </c>
      <c r="C91" s="13"/>
      <c r="D91" s="27">
        <f>D93</f>
        <v>2</v>
      </c>
      <c r="E91" s="49">
        <f>E93</f>
        <v>0</v>
      </c>
      <c r="F91" s="374">
        <f>F93</f>
        <v>2.9</v>
      </c>
      <c r="G91" s="63">
        <f t="shared" ref="G91" si="34">F91-E91</f>
        <v>2.9</v>
      </c>
      <c r="H91" s="19"/>
    </row>
    <row r="92" spans="1:13" ht="25.5" customHeight="1">
      <c r="A92" s="242"/>
      <c r="B92" s="106" t="s">
        <v>72</v>
      </c>
      <c r="C92" s="13"/>
      <c r="D92" s="27"/>
      <c r="E92" s="49"/>
      <c r="F92" s="374"/>
      <c r="G92" s="63"/>
      <c r="H92" s="19"/>
    </row>
    <row r="93" spans="1:13" ht="39.75" customHeight="1">
      <c r="A93" s="245" t="s">
        <v>90</v>
      </c>
      <c r="B93" s="125" t="s">
        <v>149</v>
      </c>
      <c r="C93" s="109">
        <v>1010</v>
      </c>
      <c r="D93" s="110">
        <f t="shared" ref="D93:F93" si="35">D94</f>
        <v>2</v>
      </c>
      <c r="E93" s="129">
        <f t="shared" si="35"/>
        <v>0</v>
      </c>
      <c r="F93" s="375">
        <f t="shared" si="35"/>
        <v>2.9</v>
      </c>
      <c r="G93" s="111">
        <f>F93-E93</f>
        <v>2.9</v>
      </c>
      <c r="H93" s="146" t="e">
        <f>(F93/E93)*100</f>
        <v>#DIV/0!</v>
      </c>
    </row>
    <row r="94" spans="1:13" s="98" customFormat="1" ht="23.25" customHeight="1">
      <c r="A94" s="247" t="s">
        <v>173</v>
      </c>
      <c r="B94" s="106" t="s">
        <v>89</v>
      </c>
      <c r="C94" s="119">
        <v>1011</v>
      </c>
      <c r="D94" s="117">
        <f>D95+D96</f>
        <v>2</v>
      </c>
      <c r="E94" s="130">
        <f>SUM(E96:E96)</f>
        <v>0</v>
      </c>
      <c r="F94" s="376">
        <f>SUM(F95:F96)</f>
        <v>2.9</v>
      </c>
      <c r="G94" s="120">
        <f t="shared" ref="G94:G96" si="36">F94-E94</f>
        <v>2.9</v>
      </c>
      <c r="H94" s="143" t="e">
        <f t="shared" ref="H94:H96" si="37">(F94/E94)*100</f>
        <v>#DIV/0!</v>
      </c>
      <c r="J94" s="102"/>
      <c r="K94" s="103"/>
      <c r="L94" s="103"/>
      <c r="M94" s="103"/>
    </row>
    <row r="95" spans="1:13" s="98" customFormat="1" ht="36" customHeight="1">
      <c r="A95" s="95"/>
      <c r="B95" s="16" t="s">
        <v>230</v>
      </c>
      <c r="C95" s="13"/>
      <c r="D95" s="26"/>
      <c r="E95" s="49"/>
      <c r="F95" s="366">
        <v>0.4</v>
      </c>
      <c r="G95" s="63">
        <f t="shared" si="36"/>
        <v>0.4</v>
      </c>
      <c r="H95" s="142" t="e">
        <f t="shared" si="37"/>
        <v>#DIV/0!</v>
      </c>
      <c r="J95" s="102"/>
      <c r="K95" s="103"/>
      <c r="L95" s="103"/>
      <c r="M95" s="103"/>
    </row>
    <row r="96" spans="1:13" ht="24" customHeight="1">
      <c r="A96" s="113"/>
      <c r="B96" s="28" t="s">
        <v>108</v>
      </c>
      <c r="C96" s="9"/>
      <c r="D96" s="26">
        <v>2</v>
      </c>
      <c r="E96" s="130"/>
      <c r="F96" s="366">
        <v>2.5</v>
      </c>
      <c r="G96" s="19">
        <f t="shared" si="36"/>
        <v>2.5</v>
      </c>
      <c r="H96" s="142" t="e">
        <f t="shared" si="37"/>
        <v>#DIV/0!</v>
      </c>
    </row>
    <row r="97" spans="1:13" ht="45.75" customHeight="1">
      <c r="A97" s="248" t="s">
        <v>105</v>
      </c>
      <c r="B97" s="269" t="s">
        <v>263</v>
      </c>
      <c r="C97" s="13"/>
      <c r="D97" s="27">
        <f>SUM(D99,D110)</f>
        <v>11497.899999999998</v>
      </c>
      <c r="E97" s="27">
        <f>SUM(E99,E110)</f>
        <v>12098.300000000001</v>
      </c>
      <c r="F97" s="364">
        <f>SUM(F99,F110)</f>
        <v>14302.700000000003</v>
      </c>
      <c r="G97" s="63">
        <f t="shared" ref="G97:G127" si="38">F97-E97</f>
        <v>2204.4000000000015</v>
      </c>
      <c r="H97" s="63">
        <f t="shared" ref="H97:H122" si="39">(F97/E97)*100</f>
        <v>118.22074175710637</v>
      </c>
      <c r="I97" s="118"/>
      <c r="K97" s="148"/>
    </row>
    <row r="98" spans="1:13" ht="26.25" customHeight="1">
      <c r="A98" s="243"/>
      <c r="B98" s="131" t="s">
        <v>72</v>
      </c>
      <c r="C98" s="9"/>
      <c r="D98" s="26"/>
      <c r="E98" s="26"/>
      <c r="F98" s="366"/>
      <c r="G98" s="19">
        <f t="shared" si="38"/>
        <v>0</v>
      </c>
      <c r="H98" s="19"/>
    </row>
    <row r="99" spans="1:13" ht="39" customHeight="1">
      <c r="A99" s="245" t="s">
        <v>88</v>
      </c>
      <c r="B99" s="20" t="s">
        <v>76</v>
      </c>
      <c r="C99" s="109">
        <v>1010</v>
      </c>
      <c r="D99" s="110">
        <f>SUM(D100,)</f>
        <v>11367.899999999998</v>
      </c>
      <c r="E99" s="110">
        <f>SUM(E100,E108)</f>
        <v>11966.6</v>
      </c>
      <c r="F99" s="370">
        <f>SUM(F100,F108)</f>
        <v>14119.100000000002</v>
      </c>
      <c r="G99" s="111">
        <f t="shared" si="38"/>
        <v>2152.5000000000018</v>
      </c>
      <c r="H99" s="111">
        <f t="shared" si="39"/>
        <v>117.98756539033646</v>
      </c>
    </row>
    <row r="100" spans="1:13" s="98" customFormat="1" ht="25.5" customHeight="1">
      <c r="A100" s="247" t="s">
        <v>174</v>
      </c>
      <c r="B100" s="106" t="s">
        <v>89</v>
      </c>
      <c r="C100" s="119">
        <v>1011</v>
      </c>
      <c r="D100" s="117">
        <f>SUM(D101:D107)</f>
        <v>11367.899999999998</v>
      </c>
      <c r="E100" s="117">
        <f>SUM(E101:E107)</f>
        <v>11799.9</v>
      </c>
      <c r="F100" s="371">
        <f>SUM(F101:F107)</f>
        <v>13923.900000000001</v>
      </c>
      <c r="G100" s="120">
        <f t="shared" si="38"/>
        <v>2124.0000000000018</v>
      </c>
      <c r="H100" s="120">
        <f t="shared" si="39"/>
        <v>118.00015254366565</v>
      </c>
      <c r="J100" s="102"/>
      <c r="K100" s="103"/>
      <c r="L100" s="103"/>
      <c r="M100" s="103"/>
    </row>
    <row r="101" spans="1:13" ht="23.25" customHeight="1">
      <c r="A101" s="244"/>
      <c r="B101" s="16" t="s">
        <v>108</v>
      </c>
      <c r="C101" s="9"/>
      <c r="D101" s="251">
        <v>1157.2</v>
      </c>
      <c r="E101" s="171">
        <v>585</v>
      </c>
      <c r="F101" s="366">
        <v>628.4</v>
      </c>
      <c r="G101" s="19">
        <f t="shared" si="38"/>
        <v>43.399999999999977</v>
      </c>
      <c r="H101" s="19">
        <f t="shared" si="39"/>
        <v>107.41880341880341</v>
      </c>
    </row>
    <row r="102" spans="1:13" ht="20.25" customHeight="1">
      <c r="A102" s="244"/>
      <c r="B102" s="16" t="s">
        <v>291</v>
      </c>
      <c r="C102" s="9"/>
      <c r="D102" s="251"/>
      <c r="E102" s="171">
        <v>375</v>
      </c>
      <c r="F102" s="366"/>
      <c r="G102" s="19">
        <f t="shared" si="38"/>
        <v>-375</v>
      </c>
      <c r="H102" s="19"/>
      <c r="I102" s="386">
        <f>E103+E104+E105+E106+E107+E112+E113+E114+E115</f>
        <v>10971.6</v>
      </c>
      <c r="J102" s="386"/>
    </row>
    <row r="103" spans="1:13" ht="21" customHeight="1">
      <c r="A103" s="244"/>
      <c r="B103" s="28" t="s">
        <v>131</v>
      </c>
      <c r="C103" s="9"/>
      <c r="D103" s="251">
        <v>148.19999999999999</v>
      </c>
      <c r="E103" s="171">
        <v>152.5</v>
      </c>
      <c r="F103" s="366">
        <v>16.7</v>
      </c>
      <c r="G103" s="19">
        <f t="shared" si="38"/>
        <v>-135.80000000000001</v>
      </c>
      <c r="H103" s="19">
        <f t="shared" si="39"/>
        <v>10.950819672131146</v>
      </c>
      <c r="I103" s="118"/>
    </row>
    <row r="104" spans="1:13" ht="20.25" customHeight="1">
      <c r="A104" s="244"/>
      <c r="B104" s="28" t="s">
        <v>122</v>
      </c>
      <c r="C104" s="9"/>
      <c r="D104" s="251">
        <v>4158.1000000000004</v>
      </c>
      <c r="E104" s="171">
        <v>4318.3</v>
      </c>
      <c r="F104" s="366">
        <v>4754.3</v>
      </c>
      <c r="G104" s="19">
        <f t="shared" si="38"/>
        <v>436</v>
      </c>
      <c r="H104" s="19">
        <f t="shared" si="39"/>
        <v>110.09656577819975</v>
      </c>
      <c r="I104" s="118"/>
    </row>
    <row r="105" spans="1:13" ht="20.25" customHeight="1">
      <c r="A105" s="244"/>
      <c r="B105" s="28" t="s">
        <v>123</v>
      </c>
      <c r="C105" s="9"/>
      <c r="D105" s="251">
        <v>351.4</v>
      </c>
      <c r="E105" s="171">
        <v>339.3</v>
      </c>
      <c r="F105" s="366">
        <v>449.8</v>
      </c>
      <c r="G105" s="19">
        <f t="shared" si="38"/>
        <v>110.5</v>
      </c>
      <c r="H105" s="19">
        <f t="shared" si="39"/>
        <v>132.56704980842912</v>
      </c>
      <c r="I105" s="118"/>
    </row>
    <row r="106" spans="1:13" ht="20.25" customHeight="1">
      <c r="A106" s="244"/>
      <c r="B106" s="28" t="s">
        <v>124</v>
      </c>
      <c r="C106" s="9"/>
      <c r="D106" s="251">
        <v>5305.7</v>
      </c>
      <c r="E106" s="171">
        <v>5786.9</v>
      </c>
      <c r="F106" s="366">
        <v>7874.6</v>
      </c>
      <c r="G106" s="19">
        <f t="shared" si="38"/>
        <v>2087.7000000000007</v>
      </c>
      <c r="H106" s="19">
        <f t="shared" si="39"/>
        <v>136.07631028702761</v>
      </c>
      <c r="I106" s="118"/>
    </row>
    <row r="107" spans="1:13" ht="22.5" customHeight="1">
      <c r="A107" s="244"/>
      <c r="B107" s="28" t="s">
        <v>125</v>
      </c>
      <c r="C107" s="9"/>
      <c r="D107" s="251">
        <v>247.3</v>
      </c>
      <c r="E107" s="171">
        <v>242.9</v>
      </c>
      <c r="F107" s="366">
        <v>200.1</v>
      </c>
      <c r="G107" s="19">
        <f t="shared" si="38"/>
        <v>-42.800000000000011</v>
      </c>
      <c r="H107" s="19">
        <f t="shared" si="39"/>
        <v>82.379580074104567</v>
      </c>
      <c r="I107" s="118"/>
    </row>
    <row r="108" spans="1:13" s="98" customFormat="1" ht="22.5" customHeight="1">
      <c r="A108" s="245" t="s">
        <v>364</v>
      </c>
      <c r="B108" s="20" t="s">
        <v>79</v>
      </c>
      <c r="C108" s="109">
        <v>1015</v>
      </c>
      <c r="D108" s="27"/>
      <c r="E108" s="175">
        <v>166.7</v>
      </c>
      <c r="F108" s="370">
        <f>F109</f>
        <v>195.2</v>
      </c>
      <c r="G108" s="111">
        <f t="shared" si="38"/>
        <v>28.5</v>
      </c>
      <c r="H108" s="19"/>
      <c r="I108" s="104"/>
      <c r="J108" s="102"/>
      <c r="K108" s="103"/>
      <c r="L108" s="103"/>
      <c r="M108" s="103"/>
    </row>
    <row r="109" spans="1:13" ht="22.5" customHeight="1">
      <c r="A109" s="247" t="s">
        <v>365</v>
      </c>
      <c r="B109" s="31" t="s">
        <v>244</v>
      </c>
      <c r="C109" s="9"/>
      <c r="D109" s="26"/>
      <c r="E109" s="171">
        <v>166.7</v>
      </c>
      <c r="F109" s="366">
        <v>195.2</v>
      </c>
      <c r="G109" s="19">
        <f t="shared" si="38"/>
        <v>28.5</v>
      </c>
      <c r="H109" s="19"/>
      <c r="I109" s="118"/>
    </row>
    <row r="110" spans="1:13" ht="20.100000000000001" customHeight="1">
      <c r="A110" s="108" t="s">
        <v>364</v>
      </c>
      <c r="B110" s="125" t="s">
        <v>77</v>
      </c>
      <c r="C110" s="109">
        <v>1020</v>
      </c>
      <c r="D110" s="110">
        <f t="shared" ref="D110:F110" si="40">SUM(D111)</f>
        <v>130</v>
      </c>
      <c r="E110" s="110">
        <f t="shared" si="40"/>
        <v>131.69999999999999</v>
      </c>
      <c r="F110" s="370">
        <f t="shared" si="40"/>
        <v>183.6</v>
      </c>
      <c r="G110" s="111">
        <f t="shared" si="38"/>
        <v>51.900000000000006</v>
      </c>
      <c r="H110" s="111">
        <f t="shared" si="39"/>
        <v>139.40774487471529</v>
      </c>
    </row>
    <row r="111" spans="1:13" s="98" customFormat="1" ht="21" customHeight="1">
      <c r="A111" s="112" t="s">
        <v>365</v>
      </c>
      <c r="B111" s="126" t="s">
        <v>148</v>
      </c>
      <c r="C111" s="119">
        <v>1025</v>
      </c>
      <c r="D111" s="132">
        <f t="shared" ref="D111:F111" si="41">SUM(D112:D115)</f>
        <v>130</v>
      </c>
      <c r="E111" s="132">
        <f>E112+E113+E114+E115</f>
        <v>131.69999999999999</v>
      </c>
      <c r="F111" s="377">
        <f t="shared" si="41"/>
        <v>183.6</v>
      </c>
      <c r="G111" s="120">
        <f t="shared" si="38"/>
        <v>51.900000000000006</v>
      </c>
      <c r="H111" s="120">
        <f t="shared" si="39"/>
        <v>139.40774487471529</v>
      </c>
      <c r="J111" s="102"/>
      <c r="K111" s="103"/>
      <c r="L111" s="103"/>
      <c r="M111" s="103"/>
    </row>
    <row r="112" spans="1:13" ht="21" customHeight="1">
      <c r="A112" s="113"/>
      <c r="B112" s="28" t="s">
        <v>122</v>
      </c>
      <c r="C112" s="9"/>
      <c r="D112" s="251">
        <v>84.4</v>
      </c>
      <c r="E112" s="171">
        <v>85</v>
      </c>
      <c r="F112" s="366">
        <v>93.7</v>
      </c>
      <c r="G112" s="19">
        <f t="shared" si="38"/>
        <v>8.7000000000000028</v>
      </c>
      <c r="H112" s="19">
        <f t="shared" si="39"/>
        <v>110.23529411764706</v>
      </c>
    </row>
    <row r="113" spans="1:13" ht="21" customHeight="1">
      <c r="A113" s="113"/>
      <c r="B113" s="28" t="s">
        <v>123</v>
      </c>
      <c r="C113" s="9"/>
      <c r="D113" s="251">
        <v>3.6</v>
      </c>
      <c r="E113" s="171">
        <v>3.6</v>
      </c>
      <c r="F113" s="366">
        <v>3.1</v>
      </c>
      <c r="G113" s="19">
        <f t="shared" si="38"/>
        <v>-0.5</v>
      </c>
      <c r="H113" s="19">
        <f t="shared" si="39"/>
        <v>86.111111111111114</v>
      </c>
    </row>
    <row r="114" spans="1:13" ht="20.25" customHeight="1">
      <c r="A114" s="113"/>
      <c r="B114" s="28" t="s">
        <v>124</v>
      </c>
      <c r="C114" s="9"/>
      <c r="D114" s="251">
        <v>39</v>
      </c>
      <c r="E114" s="171">
        <v>40.1</v>
      </c>
      <c r="F114" s="366">
        <v>84.4</v>
      </c>
      <c r="G114" s="19">
        <f t="shared" si="38"/>
        <v>44.300000000000004</v>
      </c>
      <c r="H114" s="19">
        <f t="shared" si="39"/>
        <v>210.47381546134662</v>
      </c>
      <c r="J114" s="148"/>
    </row>
    <row r="115" spans="1:13" ht="21" customHeight="1">
      <c r="A115" s="113"/>
      <c r="B115" s="28" t="s">
        <v>125</v>
      </c>
      <c r="C115" s="9"/>
      <c r="D115" s="251">
        <v>3</v>
      </c>
      <c r="E115" s="171">
        <v>3</v>
      </c>
      <c r="F115" s="366">
        <v>2.4</v>
      </c>
      <c r="G115" s="19">
        <f t="shared" si="38"/>
        <v>-0.60000000000000009</v>
      </c>
      <c r="H115" s="19">
        <f t="shared" si="39"/>
        <v>80</v>
      </c>
      <c r="J115" s="148"/>
    </row>
    <row r="116" spans="1:13" ht="58.5" customHeight="1">
      <c r="A116" s="242" t="s">
        <v>106</v>
      </c>
      <c r="B116" s="166" t="s">
        <v>262</v>
      </c>
      <c r="C116" s="13"/>
      <c r="D116" s="27">
        <f>D118</f>
        <v>5639</v>
      </c>
      <c r="E116" s="175">
        <f t="shared" ref="E116:F116" si="42">E118</f>
        <v>0</v>
      </c>
      <c r="F116" s="364">
        <f t="shared" si="42"/>
        <v>558.4</v>
      </c>
      <c r="G116" s="63">
        <f t="shared" ref="G116:G119" si="43">F116-E116</f>
        <v>558.4</v>
      </c>
      <c r="H116" s="145" t="e">
        <f t="shared" ref="H116" si="44">(F116/E116)*100</f>
        <v>#DIV/0!</v>
      </c>
      <c r="J116" s="148"/>
    </row>
    <row r="117" spans="1:13" ht="26.25" customHeight="1">
      <c r="A117" s="244"/>
      <c r="B117" s="126" t="s">
        <v>72</v>
      </c>
      <c r="C117" s="9"/>
      <c r="D117" s="26"/>
      <c r="E117" s="171"/>
      <c r="F117" s="366"/>
      <c r="G117" s="19">
        <f t="shared" si="43"/>
        <v>0</v>
      </c>
      <c r="H117" s="19"/>
      <c r="I117" s="118"/>
    </row>
    <row r="118" spans="1:13" ht="45.75" customHeight="1">
      <c r="A118" s="245" t="s">
        <v>175</v>
      </c>
      <c r="B118" s="125" t="s">
        <v>76</v>
      </c>
      <c r="C118" s="109">
        <v>1010</v>
      </c>
      <c r="D118" s="110">
        <f>D119</f>
        <v>5639</v>
      </c>
      <c r="E118" s="140">
        <f t="shared" ref="E118:F118" si="45">E119</f>
        <v>0</v>
      </c>
      <c r="F118" s="370">
        <f t="shared" si="45"/>
        <v>558.4</v>
      </c>
      <c r="G118" s="111">
        <f t="shared" si="43"/>
        <v>558.4</v>
      </c>
      <c r="H118" s="146" t="e">
        <f t="shared" ref="H118:H119" si="46">(F118/E118)*100</f>
        <v>#DIV/0!</v>
      </c>
    </row>
    <row r="119" spans="1:13" ht="25.5" customHeight="1">
      <c r="A119" s="247" t="s">
        <v>176</v>
      </c>
      <c r="B119" s="126" t="s">
        <v>89</v>
      </c>
      <c r="C119" s="119">
        <v>1011</v>
      </c>
      <c r="D119" s="117">
        <f>SUM(D120:D121)</f>
        <v>5639</v>
      </c>
      <c r="E119" s="219">
        <f>SUM(E120:E121)</f>
        <v>0</v>
      </c>
      <c r="F119" s="371">
        <f>SUM(F120:F121)</f>
        <v>558.4</v>
      </c>
      <c r="G119" s="120">
        <f t="shared" si="43"/>
        <v>558.4</v>
      </c>
      <c r="H119" s="143" t="e">
        <f t="shared" si="46"/>
        <v>#DIV/0!</v>
      </c>
    </row>
    <row r="120" spans="1:13" ht="22.5" customHeight="1">
      <c r="A120" s="113"/>
      <c r="B120" s="28" t="s">
        <v>108</v>
      </c>
      <c r="C120" s="9"/>
      <c r="D120" s="26">
        <v>5359.6</v>
      </c>
      <c r="E120" s="171"/>
      <c r="F120" s="366">
        <v>246.4</v>
      </c>
      <c r="G120" s="19">
        <f t="shared" ref="G120:G121" si="47">F120-E120</f>
        <v>246.4</v>
      </c>
      <c r="H120" s="142" t="e">
        <f t="shared" ref="H120:H121" si="48">(F120/E120)*100</f>
        <v>#DIV/0!</v>
      </c>
    </row>
    <row r="121" spans="1:13" ht="23.25" customHeight="1">
      <c r="A121" s="113"/>
      <c r="B121" s="28" t="s">
        <v>224</v>
      </c>
      <c r="C121" s="9"/>
      <c r="D121" s="26">
        <v>279.39999999999998</v>
      </c>
      <c r="E121" s="171"/>
      <c r="F121" s="366">
        <v>312</v>
      </c>
      <c r="G121" s="19">
        <f t="shared" si="47"/>
        <v>312</v>
      </c>
      <c r="H121" s="142" t="e">
        <f t="shared" si="48"/>
        <v>#DIV/0!</v>
      </c>
    </row>
    <row r="122" spans="1:13" ht="35.25" customHeight="1">
      <c r="A122" s="242" t="s">
        <v>264</v>
      </c>
      <c r="B122" s="168" t="s">
        <v>167</v>
      </c>
      <c r="C122" s="13"/>
      <c r="D122" s="27">
        <f>SUM(D124,D130)</f>
        <v>170.4</v>
      </c>
      <c r="E122" s="27">
        <f>SUM(E124,E130)</f>
        <v>241.40000000000003</v>
      </c>
      <c r="F122" s="364">
        <f>SUM(F124,F130)</f>
        <v>273.8</v>
      </c>
      <c r="G122" s="63">
        <f t="shared" si="38"/>
        <v>32.399999999999977</v>
      </c>
      <c r="H122" s="63">
        <f t="shared" si="39"/>
        <v>113.42170671085334</v>
      </c>
      <c r="K122" s="148"/>
    </row>
    <row r="123" spans="1:13" ht="27.75" customHeight="1">
      <c r="A123" s="242"/>
      <c r="B123" s="106" t="s">
        <v>72</v>
      </c>
      <c r="C123" s="13"/>
      <c r="D123" s="27"/>
      <c r="E123" s="27"/>
      <c r="F123" s="364"/>
      <c r="G123" s="19">
        <f t="shared" si="38"/>
        <v>0</v>
      </c>
      <c r="H123" s="19"/>
    </row>
    <row r="124" spans="1:13" ht="39.75" customHeight="1">
      <c r="A124" s="245" t="s">
        <v>177</v>
      </c>
      <c r="B124" s="20" t="s">
        <v>76</v>
      </c>
      <c r="C124" s="109">
        <v>1010</v>
      </c>
      <c r="D124" s="110">
        <f>D125</f>
        <v>170.1</v>
      </c>
      <c r="E124" s="110">
        <f>E125</f>
        <v>241.10000000000002</v>
      </c>
      <c r="F124" s="370">
        <f>F125</f>
        <v>273.5</v>
      </c>
      <c r="G124" s="111">
        <f t="shared" si="38"/>
        <v>32.399999999999977</v>
      </c>
      <c r="H124" s="111">
        <f>F124/E124*100</f>
        <v>113.43840729987555</v>
      </c>
    </row>
    <row r="125" spans="1:13" s="98" customFormat="1" ht="22.5" customHeight="1">
      <c r="A125" s="247" t="s">
        <v>178</v>
      </c>
      <c r="B125" s="106" t="s">
        <v>89</v>
      </c>
      <c r="C125" s="119">
        <v>1011</v>
      </c>
      <c r="D125" s="117">
        <f>SUM(D126:D129)</f>
        <v>170.1</v>
      </c>
      <c r="E125" s="117">
        <f>E126+E127+E128+E129</f>
        <v>241.10000000000002</v>
      </c>
      <c r="F125" s="371">
        <f>F126+F127+F128+F129</f>
        <v>273.5</v>
      </c>
      <c r="G125" s="120">
        <f t="shared" si="38"/>
        <v>32.399999999999977</v>
      </c>
      <c r="H125" s="120">
        <f t="shared" ref="H125:H129" si="49">F125/E125*100</f>
        <v>113.43840729987555</v>
      </c>
      <c r="J125" s="102"/>
      <c r="K125" s="103"/>
      <c r="L125" s="103"/>
      <c r="M125" s="103"/>
    </row>
    <row r="126" spans="1:13" ht="18.75" customHeight="1">
      <c r="A126" s="247"/>
      <c r="B126" s="16" t="s">
        <v>122</v>
      </c>
      <c r="C126" s="9"/>
      <c r="D126" s="251">
        <v>6.4</v>
      </c>
      <c r="E126" s="171">
        <v>5.8000000000000007</v>
      </c>
      <c r="F126" s="366">
        <v>7.9</v>
      </c>
      <c r="G126" s="19">
        <f t="shared" si="38"/>
        <v>2.0999999999999996</v>
      </c>
      <c r="H126" s="19">
        <f t="shared" si="49"/>
        <v>136.20689655172413</v>
      </c>
    </row>
    <row r="127" spans="1:13" ht="23.25" customHeight="1">
      <c r="A127" s="244"/>
      <c r="B127" s="16" t="s">
        <v>123</v>
      </c>
      <c r="C127" s="9"/>
      <c r="D127" s="251">
        <v>1.5</v>
      </c>
      <c r="E127" s="171">
        <v>1.5</v>
      </c>
      <c r="F127" s="366">
        <v>2.9</v>
      </c>
      <c r="G127" s="19">
        <f t="shared" si="38"/>
        <v>1.4</v>
      </c>
      <c r="H127" s="19">
        <f t="shared" si="49"/>
        <v>193.33333333333334</v>
      </c>
    </row>
    <row r="128" spans="1:13" ht="22.5" customHeight="1">
      <c r="A128" s="244"/>
      <c r="B128" s="16" t="s">
        <v>124</v>
      </c>
      <c r="C128" s="9"/>
      <c r="D128" s="251">
        <v>161.6</v>
      </c>
      <c r="E128" s="171">
        <v>233.10000000000002</v>
      </c>
      <c r="F128" s="366">
        <v>262.2</v>
      </c>
      <c r="G128" s="19">
        <f t="shared" ref="G128:G132" si="50">F128-E128</f>
        <v>29.099999999999966</v>
      </c>
      <c r="H128" s="19">
        <f t="shared" si="49"/>
        <v>112.48391248391248</v>
      </c>
    </row>
    <row r="129" spans="1:13" ht="21" customHeight="1">
      <c r="A129" s="244"/>
      <c r="B129" s="16" t="s">
        <v>125</v>
      </c>
      <c r="C129" s="9"/>
      <c r="D129" s="251">
        <v>0.6</v>
      </c>
      <c r="E129" s="171">
        <v>0.7</v>
      </c>
      <c r="F129" s="366">
        <v>0.5</v>
      </c>
      <c r="G129" s="19">
        <f t="shared" si="50"/>
        <v>-0.19999999999999996</v>
      </c>
      <c r="H129" s="19">
        <f t="shared" si="49"/>
        <v>71.428571428571431</v>
      </c>
    </row>
    <row r="130" spans="1:13" ht="24" customHeight="1">
      <c r="A130" s="244"/>
      <c r="B130" s="20" t="s">
        <v>77</v>
      </c>
      <c r="C130" s="109">
        <v>1020</v>
      </c>
      <c r="D130" s="110">
        <f t="shared" ref="D130:F130" si="51">SUM(D131)</f>
        <v>0.3</v>
      </c>
      <c r="E130" s="110">
        <f t="shared" si="51"/>
        <v>0.3</v>
      </c>
      <c r="F130" s="370">
        <f t="shared" si="51"/>
        <v>0.3</v>
      </c>
      <c r="G130" s="111">
        <f t="shared" si="50"/>
        <v>0</v>
      </c>
      <c r="H130" s="111">
        <f t="shared" ref="H130:H132" si="52">(F130/E130)*100</f>
        <v>100</v>
      </c>
    </row>
    <row r="131" spans="1:13" s="98" customFormat="1" ht="24" customHeight="1">
      <c r="A131" s="245" t="s">
        <v>366</v>
      </c>
      <c r="B131" s="126" t="s">
        <v>144</v>
      </c>
      <c r="C131" s="119">
        <v>1025</v>
      </c>
      <c r="D131" s="117">
        <f t="shared" ref="D131" si="53">SUM(D132)</f>
        <v>0.3</v>
      </c>
      <c r="E131" s="117">
        <v>0.3</v>
      </c>
      <c r="F131" s="371">
        <v>0.3</v>
      </c>
      <c r="G131" s="120">
        <f t="shared" si="50"/>
        <v>0</v>
      </c>
      <c r="H131" s="120">
        <f t="shared" si="52"/>
        <v>100</v>
      </c>
      <c r="J131" s="102"/>
      <c r="K131" s="103"/>
      <c r="L131" s="103"/>
      <c r="M131" s="103"/>
    </row>
    <row r="132" spans="1:13" ht="20.25" customHeight="1">
      <c r="A132" s="247" t="s">
        <v>367</v>
      </c>
      <c r="B132" s="16" t="s">
        <v>38</v>
      </c>
      <c r="C132" s="9"/>
      <c r="D132" s="26">
        <v>0.3</v>
      </c>
      <c r="E132" s="171">
        <v>0.3</v>
      </c>
      <c r="F132" s="366">
        <v>0.3</v>
      </c>
      <c r="G132" s="19">
        <f t="shared" si="50"/>
        <v>0</v>
      </c>
      <c r="H132" s="19">
        <f t="shared" si="52"/>
        <v>100</v>
      </c>
    </row>
    <row r="133" spans="1:13" ht="20.25" customHeight="1">
      <c r="A133" s="242" t="s">
        <v>134</v>
      </c>
      <c r="B133" s="168" t="s">
        <v>133</v>
      </c>
      <c r="C133" s="13"/>
      <c r="D133" s="27">
        <v>0</v>
      </c>
      <c r="E133" s="27">
        <f t="shared" ref="E133:F133" si="54">SUM(E135,)</f>
        <v>3</v>
      </c>
      <c r="F133" s="364">
        <f t="shared" si="54"/>
        <v>0</v>
      </c>
      <c r="G133" s="63">
        <f t="shared" ref="G133:G207" si="55">F133-E133</f>
        <v>-3</v>
      </c>
      <c r="H133" s="63">
        <f t="shared" ref="H133:H207" si="56">(F133/E133)*100</f>
        <v>0</v>
      </c>
    </row>
    <row r="134" spans="1:13" ht="25.5" customHeight="1">
      <c r="A134" s="242"/>
      <c r="B134" s="106" t="s">
        <v>72</v>
      </c>
      <c r="C134" s="13"/>
      <c r="D134" s="27"/>
      <c r="E134" s="27"/>
      <c r="F134" s="364"/>
      <c r="G134" s="63"/>
      <c r="H134" s="63"/>
    </row>
    <row r="135" spans="1:13" ht="25.5" customHeight="1">
      <c r="A135" s="245" t="s">
        <v>168</v>
      </c>
      <c r="B135" s="20" t="s">
        <v>77</v>
      </c>
      <c r="C135" s="109">
        <v>1020</v>
      </c>
      <c r="D135" s="110">
        <f>D137</f>
        <v>0</v>
      </c>
      <c r="E135" s="110">
        <f>SUM(E136)</f>
        <v>3</v>
      </c>
      <c r="F135" s="370">
        <f>F137</f>
        <v>0</v>
      </c>
      <c r="G135" s="111">
        <f t="shared" si="55"/>
        <v>-3</v>
      </c>
      <c r="H135" s="120">
        <f t="shared" si="56"/>
        <v>0</v>
      </c>
    </row>
    <row r="136" spans="1:13" s="98" customFormat="1" ht="26.25" customHeight="1">
      <c r="A136" s="247" t="s">
        <v>189</v>
      </c>
      <c r="B136" s="106" t="s">
        <v>89</v>
      </c>
      <c r="C136" s="119">
        <v>1021</v>
      </c>
      <c r="D136" s="117">
        <f>D137</f>
        <v>0</v>
      </c>
      <c r="E136" s="117">
        <f>SUM(E137)</f>
        <v>3</v>
      </c>
      <c r="F136" s="371">
        <f>F137</f>
        <v>0</v>
      </c>
      <c r="G136" s="120">
        <f t="shared" si="55"/>
        <v>-3</v>
      </c>
      <c r="H136" s="120">
        <f t="shared" si="56"/>
        <v>0</v>
      </c>
      <c r="J136" s="102"/>
      <c r="K136" s="103"/>
      <c r="L136" s="103"/>
      <c r="M136" s="103"/>
    </row>
    <row r="137" spans="1:13" ht="24.75" customHeight="1">
      <c r="A137" s="95"/>
      <c r="B137" s="16" t="s">
        <v>140</v>
      </c>
      <c r="C137" s="13"/>
      <c r="D137" s="26"/>
      <c r="E137" s="26">
        <v>3</v>
      </c>
      <c r="F137" s="366"/>
      <c r="G137" s="19">
        <f t="shared" si="55"/>
        <v>-3</v>
      </c>
      <c r="H137" s="19">
        <f t="shared" si="56"/>
        <v>0</v>
      </c>
    </row>
    <row r="138" spans="1:13" ht="22.5" customHeight="1">
      <c r="A138" s="242" t="s">
        <v>135</v>
      </c>
      <c r="B138" s="168" t="s">
        <v>241</v>
      </c>
      <c r="C138" s="13"/>
      <c r="D138" s="27">
        <f>SUM(D140,D159)</f>
        <v>10327.300000000001</v>
      </c>
      <c r="E138" s="27">
        <f t="shared" ref="E138" si="57">SUM(E140,)</f>
        <v>0</v>
      </c>
      <c r="F138" s="364">
        <f>F140</f>
        <v>8412.0999999999985</v>
      </c>
      <c r="G138" s="63">
        <f t="shared" si="55"/>
        <v>8412.0999999999985</v>
      </c>
      <c r="H138" s="142" t="e">
        <f t="shared" si="56"/>
        <v>#DIV/0!</v>
      </c>
    </row>
    <row r="139" spans="1:13" ht="21" customHeight="1">
      <c r="A139" s="242"/>
      <c r="B139" s="106" t="s">
        <v>72</v>
      </c>
      <c r="C139" s="9"/>
      <c r="D139" s="26"/>
      <c r="E139" s="26"/>
      <c r="F139" s="366"/>
      <c r="G139" s="19"/>
      <c r="H139" s="19"/>
    </row>
    <row r="140" spans="1:13" ht="38.25" customHeight="1">
      <c r="A140" s="245" t="s">
        <v>233</v>
      </c>
      <c r="B140" s="20" t="s">
        <v>76</v>
      </c>
      <c r="C140" s="109">
        <v>1010</v>
      </c>
      <c r="D140" s="110">
        <f>SUM(D141,D153)</f>
        <v>10324.1</v>
      </c>
      <c r="E140" s="110">
        <f t="shared" ref="E140" si="58">SUM(E141)</f>
        <v>0</v>
      </c>
      <c r="F140" s="370">
        <f>F141+F153</f>
        <v>8412.0999999999985</v>
      </c>
      <c r="G140" s="111">
        <f t="shared" si="55"/>
        <v>8412.0999999999985</v>
      </c>
      <c r="H140" s="146" t="e">
        <f t="shared" si="56"/>
        <v>#DIV/0!</v>
      </c>
    </row>
    <row r="141" spans="1:13" s="98" customFormat="1" ht="24" customHeight="1">
      <c r="A141" s="247" t="s">
        <v>234</v>
      </c>
      <c r="B141" s="106" t="s">
        <v>89</v>
      </c>
      <c r="C141" s="119">
        <v>1011</v>
      </c>
      <c r="D141" s="117">
        <f>SUM(D142:D152)</f>
        <v>10242.4</v>
      </c>
      <c r="E141" s="117">
        <f>SUM(E142:E152)</f>
        <v>0</v>
      </c>
      <c r="F141" s="371">
        <f>SUM(F142:F152)</f>
        <v>8364.7999999999993</v>
      </c>
      <c r="G141" s="120">
        <f t="shared" si="55"/>
        <v>8364.7999999999993</v>
      </c>
      <c r="H141" s="143" t="e">
        <f t="shared" si="56"/>
        <v>#DIV/0!</v>
      </c>
      <c r="J141" s="102"/>
      <c r="K141" s="103"/>
      <c r="L141" s="103"/>
      <c r="M141" s="103"/>
    </row>
    <row r="142" spans="1:13" ht="24" customHeight="1">
      <c r="A142" s="95"/>
      <c r="B142" s="16" t="s">
        <v>179</v>
      </c>
      <c r="C142" s="13"/>
      <c r="D142" s="26">
        <v>433.2</v>
      </c>
      <c r="E142" s="26"/>
      <c r="F142" s="366">
        <v>343.9</v>
      </c>
      <c r="G142" s="19">
        <f t="shared" si="55"/>
        <v>343.9</v>
      </c>
      <c r="H142" s="142" t="e">
        <f t="shared" si="56"/>
        <v>#DIV/0!</v>
      </c>
    </row>
    <row r="143" spans="1:13" ht="21.75" customHeight="1">
      <c r="A143" s="95"/>
      <c r="B143" s="16" t="s">
        <v>209</v>
      </c>
      <c r="C143" s="9"/>
      <c r="D143" s="26">
        <v>1033.9000000000001</v>
      </c>
      <c r="E143" s="26"/>
      <c r="F143" s="366">
        <v>550.9</v>
      </c>
      <c r="G143" s="19">
        <f t="shared" si="55"/>
        <v>550.9</v>
      </c>
      <c r="H143" s="142" t="e">
        <f t="shared" si="56"/>
        <v>#DIV/0!</v>
      </c>
    </row>
    <row r="144" spans="1:13" ht="21" customHeight="1">
      <c r="A144" s="95"/>
      <c r="B144" s="16" t="s">
        <v>190</v>
      </c>
      <c r="C144" s="9"/>
      <c r="D144" s="26">
        <v>248.3</v>
      </c>
      <c r="E144" s="26"/>
      <c r="F144" s="366">
        <v>204.6</v>
      </c>
      <c r="G144" s="19">
        <f t="shared" si="55"/>
        <v>204.6</v>
      </c>
      <c r="H144" s="142" t="e">
        <f t="shared" si="56"/>
        <v>#DIV/0!</v>
      </c>
    </row>
    <row r="145" spans="1:8" ht="20.25" customHeight="1">
      <c r="A145" s="95"/>
      <c r="B145" s="16" t="s">
        <v>138</v>
      </c>
      <c r="C145" s="9"/>
      <c r="D145" s="26">
        <v>78.5</v>
      </c>
      <c r="E145" s="26"/>
      <c r="F145" s="366">
        <v>194.3</v>
      </c>
      <c r="G145" s="19">
        <f t="shared" si="55"/>
        <v>194.3</v>
      </c>
      <c r="H145" s="142" t="e">
        <f t="shared" si="56"/>
        <v>#DIV/0!</v>
      </c>
    </row>
    <row r="146" spans="1:8" ht="18" customHeight="1">
      <c r="A146" s="95"/>
      <c r="B146" s="16" t="s">
        <v>139</v>
      </c>
      <c r="C146" s="9"/>
      <c r="D146" s="26">
        <v>297.39999999999998</v>
      </c>
      <c r="E146" s="26"/>
      <c r="F146" s="366">
        <v>171.5</v>
      </c>
      <c r="G146" s="19">
        <f t="shared" si="55"/>
        <v>171.5</v>
      </c>
      <c r="H146" s="142" t="e">
        <f t="shared" si="56"/>
        <v>#DIV/0!</v>
      </c>
    </row>
    <row r="147" spans="1:8" ht="22.5" customHeight="1">
      <c r="A147" s="95"/>
      <c r="B147" s="16" t="s">
        <v>191</v>
      </c>
      <c r="C147" s="9"/>
      <c r="D147" s="26">
        <v>100.9</v>
      </c>
      <c r="E147" s="26"/>
      <c r="F147" s="366">
        <v>3.5</v>
      </c>
      <c r="G147" s="19">
        <f t="shared" si="55"/>
        <v>3.5</v>
      </c>
      <c r="H147" s="142" t="e">
        <f t="shared" si="56"/>
        <v>#DIV/0!</v>
      </c>
    </row>
    <row r="148" spans="1:8" ht="22.5" customHeight="1">
      <c r="A148" s="95"/>
      <c r="B148" s="133" t="s">
        <v>368</v>
      </c>
      <c r="C148" s="9"/>
      <c r="D148" s="26">
        <v>25.4</v>
      </c>
      <c r="E148" s="26"/>
      <c r="F148" s="366"/>
      <c r="G148" s="19"/>
      <c r="H148" s="142"/>
    </row>
    <row r="149" spans="1:8" ht="38.25" customHeight="1">
      <c r="A149" s="95"/>
      <c r="B149" s="233" t="s">
        <v>369</v>
      </c>
      <c r="C149" s="9"/>
      <c r="D149" s="26">
        <v>0.6</v>
      </c>
      <c r="E149" s="26"/>
      <c r="F149" s="366">
        <v>6</v>
      </c>
      <c r="G149" s="19"/>
      <c r="H149" s="142"/>
    </row>
    <row r="150" spans="1:8" ht="21" customHeight="1">
      <c r="A150" s="95"/>
      <c r="B150" s="16" t="s">
        <v>141</v>
      </c>
      <c r="C150" s="9"/>
      <c r="D150" s="26">
        <v>155.5</v>
      </c>
      <c r="E150" s="26"/>
      <c r="F150" s="366">
        <v>553.6</v>
      </c>
      <c r="G150" s="19">
        <f t="shared" si="55"/>
        <v>553.6</v>
      </c>
      <c r="H150" s="142" t="e">
        <f t="shared" si="56"/>
        <v>#DIV/0!</v>
      </c>
    </row>
    <row r="151" spans="1:8" ht="20.25" customHeight="1">
      <c r="A151" s="95"/>
      <c r="B151" s="16" t="s">
        <v>108</v>
      </c>
      <c r="C151" s="29"/>
      <c r="D151" s="26">
        <v>6590.4</v>
      </c>
      <c r="E151" s="26"/>
      <c r="F151" s="366">
        <v>5808</v>
      </c>
      <c r="G151" s="19">
        <f t="shared" si="55"/>
        <v>5808</v>
      </c>
      <c r="H151" s="142" t="e">
        <f t="shared" si="56"/>
        <v>#DIV/0!</v>
      </c>
    </row>
    <row r="152" spans="1:8" ht="20.25" customHeight="1">
      <c r="A152" s="95"/>
      <c r="B152" s="16" t="s">
        <v>129</v>
      </c>
      <c r="C152" s="9"/>
      <c r="D152" s="26">
        <v>1278.3</v>
      </c>
      <c r="E152" s="26"/>
      <c r="F152" s="366">
        <v>528.5</v>
      </c>
      <c r="G152" s="19">
        <f t="shared" si="55"/>
        <v>528.5</v>
      </c>
      <c r="H152" s="142" t="e">
        <f t="shared" si="56"/>
        <v>#DIV/0!</v>
      </c>
    </row>
    <row r="153" spans="1:8" ht="20.25" customHeight="1">
      <c r="A153" s="242" t="s">
        <v>370</v>
      </c>
      <c r="B153" s="20" t="s">
        <v>79</v>
      </c>
      <c r="C153" s="109">
        <v>1015</v>
      </c>
      <c r="D153" s="110">
        <f>D154+D155+D156+D157+D158</f>
        <v>81.7</v>
      </c>
      <c r="E153" s="26"/>
      <c r="F153" s="370">
        <f>F154+F155+F156+F157+F158</f>
        <v>47.3</v>
      </c>
      <c r="G153" s="19"/>
      <c r="H153" s="142"/>
    </row>
    <row r="154" spans="1:8" ht="20.25" customHeight="1">
      <c r="A154" s="95"/>
      <c r="B154" s="16" t="s">
        <v>301</v>
      </c>
      <c r="C154" s="9"/>
      <c r="D154" s="26">
        <v>38.9</v>
      </c>
      <c r="E154" s="26"/>
      <c r="F154" s="366">
        <v>43.8</v>
      </c>
      <c r="G154" s="19"/>
      <c r="H154" s="142"/>
    </row>
    <row r="155" spans="1:8" ht="20.25" customHeight="1">
      <c r="A155" s="95"/>
      <c r="B155" s="224" t="s">
        <v>323</v>
      </c>
      <c r="C155" s="9"/>
      <c r="D155" s="26">
        <v>3.2</v>
      </c>
      <c r="E155" s="26"/>
      <c r="F155" s="366"/>
      <c r="G155" s="19"/>
      <c r="H155" s="142"/>
    </row>
    <row r="156" spans="1:8" ht="20.25" customHeight="1">
      <c r="A156" s="95"/>
      <c r="B156" s="16" t="s">
        <v>324</v>
      </c>
      <c r="C156" s="9"/>
      <c r="D156" s="26">
        <v>31.6</v>
      </c>
      <c r="E156" s="26"/>
      <c r="F156" s="366">
        <v>3.5</v>
      </c>
      <c r="G156" s="19"/>
      <c r="H156" s="142"/>
    </row>
    <row r="157" spans="1:8" ht="20.25" customHeight="1">
      <c r="A157" s="95"/>
      <c r="B157" s="216" t="s">
        <v>318</v>
      </c>
      <c r="C157" s="9"/>
      <c r="D157" s="26">
        <v>6.2</v>
      </c>
      <c r="E157" s="26"/>
      <c r="F157" s="366"/>
      <c r="G157" s="19"/>
      <c r="H157" s="142"/>
    </row>
    <row r="158" spans="1:8" ht="20.25" customHeight="1">
      <c r="A158" s="95"/>
      <c r="B158" s="216" t="s">
        <v>325</v>
      </c>
      <c r="C158" s="9"/>
      <c r="D158" s="26">
        <v>1.8</v>
      </c>
      <c r="E158" s="26"/>
      <c r="F158" s="366"/>
      <c r="G158" s="19"/>
      <c r="H158" s="142"/>
    </row>
    <row r="159" spans="1:8" ht="20.25" customHeight="1">
      <c r="A159" s="242" t="s">
        <v>371</v>
      </c>
      <c r="B159" s="157" t="s">
        <v>77</v>
      </c>
      <c r="C159" s="109">
        <v>1020</v>
      </c>
      <c r="D159" s="110">
        <v>3.2</v>
      </c>
      <c r="E159" s="110"/>
      <c r="F159" s="370"/>
      <c r="G159" s="111"/>
      <c r="H159" s="146"/>
    </row>
    <row r="160" spans="1:8" ht="20.25" customHeight="1">
      <c r="A160" s="250" t="s">
        <v>372</v>
      </c>
      <c r="B160" s="126" t="s">
        <v>326</v>
      </c>
      <c r="C160" s="119">
        <v>1025</v>
      </c>
      <c r="D160" s="26">
        <v>3.2</v>
      </c>
      <c r="E160" s="26"/>
      <c r="F160" s="366"/>
      <c r="G160" s="19"/>
      <c r="H160" s="142"/>
    </row>
    <row r="161" spans="1:13" ht="20.25" customHeight="1">
      <c r="A161" s="174"/>
      <c r="B161" s="16" t="s">
        <v>320</v>
      </c>
      <c r="C161" s="119"/>
      <c r="D161" s="26">
        <v>3.2</v>
      </c>
      <c r="E161" s="26"/>
      <c r="F161" s="366"/>
      <c r="G161" s="19"/>
      <c r="H161" s="142"/>
    </row>
    <row r="162" spans="1:13" ht="37.5" customHeight="1">
      <c r="A162" s="242" t="s">
        <v>228</v>
      </c>
      <c r="B162" s="225" t="s">
        <v>242</v>
      </c>
      <c r="C162" s="13"/>
      <c r="D162" s="27">
        <f>SUM(D164,D179)</f>
        <v>1662.8</v>
      </c>
      <c r="E162" s="26"/>
      <c r="F162" s="366"/>
      <c r="G162" s="19"/>
      <c r="H162" s="142"/>
    </row>
    <row r="163" spans="1:13" ht="20.25" customHeight="1">
      <c r="A163" s="242"/>
      <c r="B163" s="226" t="s">
        <v>72</v>
      </c>
      <c r="C163" s="9"/>
      <c r="D163" s="26"/>
      <c r="E163" s="26"/>
      <c r="F163" s="366"/>
      <c r="G163" s="19"/>
      <c r="H163" s="142"/>
    </row>
    <row r="164" spans="1:13" ht="38.25" customHeight="1">
      <c r="A164" s="242" t="s">
        <v>229</v>
      </c>
      <c r="B164" s="225" t="s">
        <v>76</v>
      </c>
      <c r="C164" s="13">
        <v>1010</v>
      </c>
      <c r="D164" s="27">
        <f>D165</f>
        <v>1662.8</v>
      </c>
      <c r="E164" s="26"/>
      <c r="F164" s="366"/>
      <c r="G164" s="19"/>
      <c r="H164" s="142"/>
    </row>
    <row r="165" spans="1:13" ht="20.25" customHeight="1">
      <c r="A165" s="247" t="s">
        <v>267</v>
      </c>
      <c r="B165" s="227" t="s">
        <v>89</v>
      </c>
      <c r="C165" s="119">
        <v>1011</v>
      </c>
      <c r="D165" s="117">
        <f>D166</f>
        <v>1662.8</v>
      </c>
      <c r="E165" s="26"/>
      <c r="F165" s="366"/>
      <c r="G165" s="19"/>
      <c r="H165" s="142"/>
    </row>
    <row r="166" spans="1:13" ht="20.25" customHeight="1">
      <c r="A166" s="95"/>
      <c r="B166" s="228" t="s">
        <v>108</v>
      </c>
      <c r="C166" s="9"/>
      <c r="D166" s="26">
        <v>1662.8</v>
      </c>
      <c r="E166" s="26"/>
      <c r="F166" s="366"/>
      <c r="G166" s="19"/>
      <c r="H166" s="142"/>
    </row>
    <row r="167" spans="1:13" ht="21" customHeight="1">
      <c r="A167" s="242" t="s">
        <v>268</v>
      </c>
      <c r="B167" s="168" t="s">
        <v>247</v>
      </c>
      <c r="C167" s="13"/>
      <c r="D167" s="27">
        <f>SUM(D169,)</f>
        <v>20</v>
      </c>
      <c r="E167" s="27">
        <f t="shared" ref="E167:F167" si="59">SUM(E169,)</f>
        <v>0</v>
      </c>
      <c r="F167" s="364">
        <f t="shared" si="59"/>
        <v>0</v>
      </c>
      <c r="G167" s="63">
        <f t="shared" si="55"/>
        <v>0</v>
      </c>
      <c r="H167" s="142" t="e">
        <f t="shared" si="56"/>
        <v>#DIV/0!</v>
      </c>
    </row>
    <row r="168" spans="1:13" ht="20.25" customHeight="1">
      <c r="A168" s="242"/>
      <c r="B168" s="106" t="s">
        <v>72</v>
      </c>
      <c r="C168" s="9"/>
      <c r="D168" s="26"/>
      <c r="E168" s="26"/>
      <c r="F168" s="366"/>
      <c r="G168" s="19"/>
      <c r="H168" s="142"/>
    </row>
    <row r="169" spans="1:13" ht="36" customHeight="1">
      <c r="A169" s="245" t="s">
        <v>269</v>
      </c>
      <c r="B169" s="20" t="s">
        <v>76</v>
      </c>
      <c r="C169" s="109">
        <v>1010</v>
      </c>
      <c r="D169" s="110">
        <f>SUM(D170,)</f>
        <v>20</v>
      </c>
      <c r="E169" s="110">
        <f>SUM(E170,)</f>
        <v>0</v>
      </c>
      <c r="F169" s="370">
        <f>F171+F172</f>
        <v>0</v>
      </c>
      <c r="G169" s="111">
        <f t="shared" si="55"/>
        <v>0</v>
      </c>
      <c r="H169" s="146" t="e">
        <f t="shared" si="56"/>
        <v>#DIV/0!</v>
      </c>
    </row>
    <row r="170" spans="1:13" ht="24.75" customHeight="1">
      <c r="A170" s="247" t="s">
        <v>270</v>
      </c>
      <c r="B170" s="106" t="s">
        <v>89</v>
      </c>
      <c r="C170" s="119">
        <v>1011</v>
      </c>
      <c r="D170" s="117">
        <f>D171+D172</f>
        <v>20</v>
      </c>
      <c r="E170" s="117">
        <f>SUM(E171:E172)</f>
        <v>0</v>
      </c>
      <c r="F170" s="371"/>
      <c r="G170" s="120">
        <f t="shared" si="55"/>
        <v>0</v>
      </c>
      <c r="H170" s="143" t="e">
        <f t="shared" si="56"/>
        <v>#DIV/0!</v>
      </c>
    </row>
    <row r="171" spans="1:13" ht="21" customHeight="1">
      <c r="A171" s="95"/>
      <c r="B171" s="16" t="s">
        <v>179</v>
      </c>
      <c r="C171" s="13"/>
      <c r="D171" s="26"/>
      <c r="E171" s="26"/>
      <c r="F171" s="366"/>
      <c r="G171" s="19">
        <f t="shared" si="55"/>
        <v>0</v>
      </c>
      <c r="H171" s="142" t="e">
        <f t="shared" si="56"/>
        <v>#DIV/0!</v>
      </c>
    </row>
    <row r="172" spans="1:13" ht="21" customHeight="1">
      <c r="A172" s="95"/>
      <c r="B172" s="16" t="s">
        <v>108</v>
      </c>
      <c r="C172" s="29"/>
      <c r="D172" s="26">
        <v>20</v>
      </c>
      <c r="E172" s="26"/>
      <c r="F172" s="366"/>
      <c r="G172" s="19">
        <f t="shared" si="55"/>
        <v>0</v>
      </c>
      <c r="H172" s="142" t="e">
        <f t="shared" si="56"/>
        <v>#DIV/0!</v>
      </c>
    </row>
    <row r="173" spans="1:13" s="98" customFormat="1" ht="21.75" customHeight="1">
      <c r="A173" s="242" t="s">
        <v>271</v>
      </c>
      <c r="B173" s="168" t="s">
        <v>248</v>
      </c>
      <c r="C173" s="13"/>
      <c r="D173" s="27">
        <v>910.3</v>
      </c>
      <c r="E173" s="27"/>
      <c r="F173" s="364">
        <f>F175</f>
        <v>1492.8</v>
      </c>
      <c r="G173" s="63">
        <f t="shared" si="55"/>
        <v>1492.8</v>
      </c>
      <c r="H173" s="145" t="e">
        <f t="shared" si="56"/>
        <v>#DIV/0!</v>
      </c>
      <c r="J173" s="383"/>
      <c r="K173" s="382"/>
      <c r="L173" s="103"/>
      <c r="M173" s="103"/>
    </row>
    <row r="174" spans="1:13" ht="25.5" customHeight="1">
      <c r="A174" s="242"/>
      <c r="B174" s="106" t="s">
        <v>72</v>
      </c>
      <c r="C174" s="9"/>
      <c r="D174" s="26"/>
      <c r="E174" s="26"/>
      <c r="F174" s="366"/>
      <c r="G174" s="19"/>
      <c r="H174" s="142"/>
      <c r="J174" s="382"/>
      <c r="K174" s="382"/>
    </row>
    <row r="175" spans="1:13" ht="43.5" customHeight="1">
      <c r="A175" s="245" t="s">
        <v>272</v>
      </c>
      <c r="B175" s="20" t="s">
        <v>76</v>
      </c>
      <c r="C175" s="109">
        <v>1010</v>
      </c>
      <c r="D175" s="110">
        <f>D176</f>
        <v>910.3</v>
      </c>
      <c r="E175" s="110">
        <f>SUM(E176)</f>
        <v>0</v>
      </c>
      <c r="F175" s="370">
        <f>F176</f>
        <v>1492.8</v>
      </c>
      <c r="G175" s="111">
        <f t="shared" si="55"/>
        <v>1492.8</v>
      </c>
      <c r="H175" s="146" t="e">
        <f t="shared" si="56"/>
        <v>#DIV/0!</v>
      </c>
      <c r="J175" s="382"/>
      <c r="K175" s="382"/>
    </row>
    <row r="176" spans="1:13" ht="24.75" customHeight="1">
      <c r="A176" s="247" t="s">
        <v>273</v>
      </c>
      <c r="B176" s="106" t="s">
        <v>89</v>
      </c>
      <c r="C176" s="119">
        <v>1011</v>
      </c>
      <c r="D176" s="117">
        <f>D177</f>
        <v>910.3</v>
      </c>
      <c r="E176" s="117">
        <f>SUM(E177)</f>
        <v>0</v>
      </c>
      <c r="F176" s="371">
        <f>F177</f>
        <v>1492.8</v>
      </c>
      <c r="G176" s="120">
        <f t="shared" si="55"/>
        <v>1492.8</v>
      </c>
      <c r="H176" s="143" t="e">
        <f t="shared" si="56"/>
        <v>#DIV/0!</v>
      </c>
      <c r="J176" s="382"/>
      <c r="K176" s="382"/>
    </row>
    <row r="177" spans="1:13" ht="23.25" customHeight="1">
      <c r="A177" s="95"/>
      <c r="B177" s="16" t="s">
        <v>108</v>
      </c>
      <c r="C177" s="29"/>
      <c r="D177" s="26">
        <v>910.3</v>
      </c>
      <c r="E177" s="26"/>
      <c r="F177" s="366">
        <v>1492.8</v>
      </c>
      <c r="G177" s="19">
        <f t="shared" si="55"/>
        <v>1492.8</v>
      </c>
      <c r="H177" s="142" t="e">
        <f t="shared" si="56"/>
        <v>#DIV/0!</v>
      </c>
      <c r="J177" s="383"/>
      <c r="K177" s="383"/>
    </row>
    <row r="178" spans="1:13" ht="36.75" customHeight="1">
      <c r="A178" s="95" t="s">
        <v>274</v>
      </c>
      <c r="B178" s="277" t="s">
        <v>292</v>
      </c>
      <c r="C178" s="13"/>
      <c r="D178" s="27">
        <f>D180+D192+D195</f>
        <v>718.7</v>
      </c>
      <c r="E178" s="27">
        <f>E180+E192</f>
        <v>717</v>
      </c>
      <c r="F178" s="364">
        <f>F180+F192</f>
        <v>104.6</v>
      </c>
      <c r="G178" s="63">
        <f t="shared" si="55"/>
        <v>-612.4</v>
      </c>
      <c r="H178" s="63">
        <f t="shared" si="56"/>
        <v>14.588563458856346</v>
      </c>
      <c r="J178" s="382"/>
      <c r="K178" s="382"/>
    </row>
    <row r="179" spans="1:13" ht="23.25" customHeight="1">
      <c r="A179" s="95"/>
      <c r="B179" s="147" t="s">
        <v>72</v>
      </c>
      <c r="C179" s="13"/>
      <c r="D179" s="27"/>
      <c r="E179" s="27"/>
      <c r="F179" s="364"/>
      <c r="G179" s="63"/>
      <c r="H179" s="63"/>
      <c r="J179" s="382"/>
      <c r="K179" s="382"/>
    </row>
    <row r="180" spans="1:13" ht="42.75" customHeight="1">
      <c r="A180" s="108" t="s">
        <v>275</v>
      </c>
      <c r="B180" s="20" t="s">
        <v>76</v>
      </c>
      <c r="C180" s="109">
        <v>1010</v>
      </c>
      <c r="D180" s="110">
        <f>SUM(D181,D185)</f>
        <v>640.70000000000005</v>
      </c>
      <c r="E180" s="110">
        <f>SUM(E181,E185)</f>
        <v>712</v>
      </c>
      <c r="F180" s="370">
        <f>SUM(F181,F185)</f>
        <v>98.1</v>
      </c>
      <c r="G180" s="111">
        <f t="shared" si="55"/>
        <v>-613.9</v>
      </c>
      <c r="H180" s="111">
        <f t="shared" si="56"/>
        <v>13.77808988764045</v>
      </c>
      <c r="J180" s="382"/>
      <c r="K180" s="382"/>
    </row>
    <row r="181" spans="1:13" s="98" customFormat="1" ht="23.25" customHeight="1">
      <c r="A181" s="112" t="s">
        <v>276</v>
      </c>
      <c r="B181" s="106" t="s">
        <v>89</v>
      </c>
      <c r="C181" s="119">
        <v>1011</v>
      </c>
      <c r="D181" s="117">
        <f>SUM(D182)</f>
        <v>39.200000000000003</v>
      </c>
      <c r="E181" s="117">
        <f>SUM(E182,E183)</f>
        <v>105</v>
      </c>
      <c r="F181" s="371">
        <f>F182+F183+F184</f>
        <v>66.099999999999994</v>
      </c>
      <c r="G181" s="120">
        <f t="shared" si="55"/>
        <v>-38.900000000000006</v>
      </c>
      <c r="H181" s="120">
        <f t="shared" si="56"/>
        <v>62.952380952380949</v>
      </c>
      <c r="J181" s="382"/>
      <c r="K181" s="382"/>
      <c r="L181" s="148"/>
      <c r="M181" s="103"/>
    </row>
    <row r="182" spans="1:13" ht="21.75" customHeight="1">
      <c r="A182" s="95"/>
      <c r="B182" s="18" t="s">
        <v>139</v>
      </c>
      <c r="C182" s="9"/>
      <c r="D182" s="26">
        <v>39.200000000000003</v>
      </c>
      <c r="E182" s="26">
        <v>45</v>
      </c>
      <c r="F182" s="366"/>
      <c r="G182" s="19">
        <f t="shared" si="55"/>
        <v>-45</v>
      </c>
      <c r="H182" s="142">
        <f t="shared" si="56"/>
        <v>0</v>
      </c>
      <c r="J182" s="382"/>
      <c r="K182" s="382"/>
    </row>
    <row r="183" spans="1:13" ht="36.75" customHeight="1">
      <c r="A183" s="95"/>
      <c r="B183" s="18" t="s">
        <v>299</v>
      </c>
      <c r="C183" s="9"/>
      <c r="D183" s="26"/>
      <c r="E183" s="171">
        <v>60</v>
      </c>
      <c r="F183" s="366">
        <v>43.9</v>
      </c>
      <c r="G183" s="19">
        <f t="shared" si="55"/>
        <v>-16.100000000000001</v>
      </c>
      <c r="H183" s="19">
        <f t="shared" si="56"/>
        <v>73.166666666666671</v>
      </c>
      <c r="J183" s="382"/>
      <c r="K183" s="382"/>
    </row>
    <row r="184" spans="1:13" ht="21" customHeight="1">
      <c r="A184" s="95"/>
      <c r="B184" s="16" t="s">
        <v>108</v>
      </c>
      <c r="C184" s="9"/>
      <c r="D184" s="26"/>
      <c r="E184" s="171"/>
      <c r="F184" s="366">
        <v>22.2</v>
      </c>
      <c r="G184" s="19"/>
      <c r="H184" s="19"/>
      <c r="J184" s="382"/>
      <c r="K184" s="383"/>
    </row>
    <row r="185" spans="1:13" ht="22.5" customHeight="1">
      <c r="A185" s="112" t="s">
        <v>327</v>
      </c>
      <c r="B185" s="106" t="s">
        <v>79</v>
      </c>
      <c r="C185" s="119">
        <v>1015</v>
      </c>
      <c r="D185" s="117">
        <f>D186+D187+D188+D189+D190+D191</f>
        <v>601.5</v>
      </c>
      <c r="E185" s="117">
        <f>E186+E187+E188+E191</f>
        <v>607</v>
      </c>
      <c r="F185" s="371">
        <f>F186+F187+F188+F191</f>
        <v>32</v>
      </c>
      <c r="G185" s="120">
        <f t="shared" si="55"/>
        <v>-575</v>
      </c>
      <c r="H185" s="120">
        <f t="shared" si="56"/>
        <v>5.2718286655683695</v>
      </c>
      <c r="J185" s="383"/>
      <c r="K185" s="383"/>
    </row>
    <row r="186" spans="1:13" ht="72.75" customHeight="1">
      <c r="A186" s="95"/>
      <c r="B186" s="16" t="s">
        <v>388</v>
      </c>
      <c r="C186" s="9"/>
      <c r="D186" s="26">
        <f>42.1+9.9+9.9+9.9+5.3</f>
        <v>77.099999999999994</v>
      </c>
      <c r="E186" s="171">
        <v>150</v>
      </c>
      <c r="F186" s="366">
        <v>13.6</v>
      </c>
      <c r="G186" s="19">
        <f t="shared" si="55"/>
        <v>-136.4</v>
      </c>
      <c r="H186" s="19">
        <f t="shared" si="56"/>
        <v>9.0666666666666664</v>
      </c>
      <c r="J186" s="385"/>
      <c r="K186" s="385"/>
    </row>
    <row r="187" spans="1:13" ht="57.75" customHeight="1">
      <c r="A187" s="95"/>
      <c r="B187" s="16" t="s">
        <v>239</v>
      </c>
      <c r="C187" s="9"/>
      <c r="D187" s="26">
        <v>2.1</v>
      </c>
      <c r="E187" s="171">
        <v>2.5</v>
      </c>
      <c r="F187" s="366">
        <v>0.9</v>
      </c>
      <c r="G187" s="19">
        <f t="shared" si="55"/>
        <v>-1.6</v>
      </c>
      <c r="H187" s="19">
        <f t="shared" si="56"/>
        <v>36</v>
      </c>
      <c r="J187" s="383"/>
      <c r="K187" s="383"/>
    </row>
    <row r="188" spans="1:13" ht="54" customHeight="1">
      <c r="A188" s="95"/>
      <c r="B188" s="31" t="s">
        <v>207</v>
      </c>
      <c r="C188" s="9"/>
      <c r="D188" s="26">
        <v>5.4</v>
      </c>
      <c r="E188" s="171">
        <v>4.5</v>
      </c>
      <c r="F188" s="366">
        <f>16+1.5</f>
        <v>17.5</v>
      </c>
      <c r="G188" s="19">
        <f t="shared" si="55"/>
        <v>13</v>
      </c>
      <c r="H188" s="19">
        <f t="shared" si="56"/>
        <v>388.88888888888886</v>
      </c>
      <c r="J188" s="384"/>
      <c r="K188" s="384"/>
    </row>
    <row r="189" spans="1:13" ht="21.75" customHeight="1">
      <c r="A189" s="95"/>
      <c r="B189" s="31" t="s">
        <v>319</v>
      </c>
      <c r="C189" s="9"/>
      <c r="D189" s="26">
        <v>144.4</v>
      </c>
      <c r="E189" s="171"/>
      <c r="F189" s="366"/>
      <c r="G189" s="19"/>
      <c r="H189" s="19"/>
    </row>
    <row r="190" spans="1:13" ht="34.5" customHeight="1">
      <c r="A190" s="95"/>
      <c r="B190" s="31" t="s">
        <v>361</v>
      </c>
      <c r="C190" s="9"/>
      <c r="D190" s="26">
        <v>75.5</v>
      </c>
      <c r="E190" s="171"/>
      <c r="F190" s="366"/>
      <c r="G190" s="19"/>
      <c r="H190" s="19"/>
      <c r="J190" s="384"/>
      <c r="K190" s="384"/>
    </row>
    <row r="191" spans="1:13" ht="38.25" customHeight="1">
      <c r="A191" s="95"/>
      <c r="B191" s="133" t="s">
        <v>249</v>
      </c>
      <c r="C191" s="9"/>
      <c r="D191" s="26">
        <v>297</v>
      </c>
      <c r="E191" s="171">
        <v>450</v>
      </c>
      <c r="F191" s="366"/>
      <c r="G191" s="19">
        <f t="shared" si="55"/>
        <v>-450</v>
      </c>
      <c r="H191" s="19">
        <f t="shared" si="56"/>
        <v>0</v>
      </c>
      <c r="J191" s="385"/>
      <c r="K191" s="385"/>
    </row>
    <row r="192" spans="1:13" ht="36.75" customHeight="1">
      <c r="A192" s="108" t="s">
        <v>328</v>
      </c>
      <c r="B192" s="20" t="s">
        <v>77</v>
      </c>
      <c r="C192" s="109">
        <v>1020</v>
      </c>
      <c r="D192" s="27">
        <f>D193</f>
        <v>4.9000000000000004</v>
      </c>
      <c r="E192" s="110">
        <v>5</v>
      </c>
      <c r="F192" s="370">
        <v>6.5</v>
      </c>
      <c r="G192" s="111">
        <f t="shared" si="55"/>
        <v>1.5</v>
      </c>
      <c r="H192" s="111">
        <f t="shared" si="56"/>
        <v>130</v>
      </c>
    </row>
    <row r="193" spans="1:11" ht="22.5" customHeight="1">
      <c r="A193" s="112" t="s">
        <v>329</v>
      </c>
      <c r="B193" s="126" t="s">
        <v>144</v>
      </c>
      <c r="C193" s="119">
        <v>1025</v>
      </c>
      <c r="D193" s="117">
        <f>D194</f>
        <v>4.9000000000000004</v>
      </c>
      <c r="E193" s="117">
        <v>5</v>
      </c>
      <c r="F193" s="371">
        <v>6.5</v>
      </c>
      <c r="G193" s="120">
        <f t="shared" si="55"/>
        <v>1.5</v>
      </c>
      <c r="H193" s="120">
        <f t="shared" si="56"/>
        <v>130</v>
      </c>
      <c r="J193" s="134"/>
      <c r="K193" s="151"/>
    </row>
    <row r="194" spans="1:11" ht="37.5">
      <c r="A194" s="95"/>
      <c r="B194" s="16" t="s">
        <v>147</v>
      </c>
      <c r="C194" s="9"/>
      <c r="D194" s="26">
        <v>4.9000000000000004</v>
      </c>
      <c r="E194" s="171">
        <v>5</v>
      </c>
      <c r="F194" s="366">
        <v>6.5</v>
      </c>
      <c r="G194" s="19">
        <f t="shared" si="55"/>
        <v>1.5</v>
      </c>
      <c r="H194" s="19">
        <f t="shared" si="56"/>
        <v>130</v>
      </c>
      <c r="J194" s="134"/>
      <c r="K194" s="151"/>
    </row>
    <row r="195" spans="1:11" ht="39">
      <c r="A195" s="108" t="s">
        <v>334</v>
      </c>
      <c r="B195" s="127" t="s">
        <v>10</v>
      </c>
      <c r="C195" s="109">
        <v>1030</v>
      </c>
      <c r="D195" s="110">
        <f>D196</f>
        <v>73.099999999999994</v>
      </c>
      <c r="E195" s="140"/>
      <c r="F195" s="370"/>
      <c r="G195" s="111"/>
      <c r="H195" s="111"/>
      <c r="J195" s="134"/>
      <c r="K195" s="151"/>
    </row>
    <row r="196" spans="1:11">
      <c r="A196" s="112" t="s">
        <v>335</v>
      </c>
      <c r="B196" s="229" t="s">
        <v>89</v>
      </c>
      <c r="C196" s="119">
        <v>1031</v>
      </c>
      <c r="D196" s="26">
        <f>D197</f>
        <v>73.099999999999994</v>
      </c>
      <c r="E196" s="171"/>
      <c r="F196" s="366"/>
      <c r="G196" s="19"/>
      <c r="H196" s="19"/>
      <c r="J196" s="134"/>
      <c r="K196" s="151"/>
    </row>
    <row r="197" spans="1:11">
      <c r="A197" s="95"/>
      <c r="B197" s="133" t="s">
        <v>321</v>
      </c>
      <c r="C197" s="9"/>
      <c r="D197" s="26">
        <v>73.099999999999994</v>
      </c>
      <c r="E197" s="171"/>
      <c r="F197" s="366"/>
      <c r="G197" s="19"/>
      <c r="H197" s="19"/>
      <c r="J197" s="134"/>
      <c r="K197" s="151"/>
    </row>
    <row r="198" spans="1:11" ht="26.25" customHeight="1">
      <c r="A198" s="95" t="s">
        <v>282</v>
      </c>
      <c r="B198" s="168" t="s">
        <v>250</v>
      </c>
      <c r="C198" s="13"/>
      <c r="D198" s="27">
        <f>D200</f>
        <v>115</v>
      </c>
      <c r="E198" s="117"/>
      <c r="F198" s="371">
        <f>F200</f>
        <v>70.5</v>
      </c>
      <c r="G198" s="63">
        <f t="shared" si="55"/>
        <v>70.5</v>
      </c>
      <c r="H198" s="142"/>
      <c r="K198" s="148"/>
    </row>
    <row r="199" spans="1:11" ht="18.75" customHeight="1">
      <c r="A199" s="112"/>
      <c r="B199" s="230" t="s">
        <v>72</v>
      </c>
      <c r="C199" s="13"/>
      <c r="D199" s="117"/>
      <c r="E199" s="117"/>
      <c r="F199" s="371"/>
      <c r="G199" s="63"/>
      <c r="H199" s="142"/>
      <c r="K199" s="148"/>
    </row>
    <row r="200" spans="1:11" ht="26.25" customHeight="1">
      <c r="A200" s="108" t="s">
        <v>283</v>
      </c>
      <c r="B200" s="127" t="s">
        <v>10</v>
      </c>
      <c r="C200" s="109">
        <v>1030</v>
      </c>
      <c r="D200" s="117">
        <f>D201</f>
        <v>115</v>
      </c>
      <c r="E200" s="117"/>
      <c r="F200" s="371">
        <f>F201</f>
        <v>70.5</v>
      </c>
      <c r="G200" s="63">
        <f t="shared" si="55"/>
        <v>70.5</v>
      </c>
      <c r="H200" s="142"/>
      <c r="K200" s="148"/>
    </row>
    <row r="201" spans="1:11" ht="23.25" customHeight="1">
      <c r="A201" s="112" t="s">
        <v>330</v>
      </c>
      <c r="B201" s="197" t="s">
        <v>251</v>
      </c>
      <c r="C201" s="119">
        <v>1035</v>
      </c>
      <c r="D201" s="117">
        <v>115</v>
      </c>
      <c r="E201" s="117"/>
      <c r="F201" s="371">
        <v>70.5</v>
      </c>
      <c r="G201" s="19">
        <f t="shared" si="55"/>
        <v>70.5</v>
      </c>
      <c r="H201" s="142"/>
      <c r="K201" s="148"/>
    </row>
    <row r="202" spans="1:11" ht="37.5">
      <c r="A202" s="95" t="s">
        <v>331</v>
      </c>
      <c r="B202" s="168" t="s">
        <v>201</v>
      </c>
      <c r="C202" s="9"/>
      <c r="D202" s="27">
        <f t="shared" ref="D202" si="60">SUM(D204,D206)</f>
        <v>20890.100000000002</v>
      </c>
      <c r="E202" s="27">
        <f t="shared" ref="E202:F202" si="61">SUM(E204,E206)</f>
        <v>22100</v>
      </c>
      <c r="F202" s="364">
        <f t="shared" si="61"/>
        <v>24385.100000000002</v>
      </c>
      <c r="G202" s="63">
        <f t="shared" si="55"/>
        <v>2285.1000000000022</v>
      </c>
      <c r="H202" s="63">
        <f t="shared" si="56"/>
        <v>110.3398190045249</v>
      </c>
    </row>
    <row r="203" spans="1:11" ht="23.25" customHeight="1">
      <c r="A203" s="95"/>
      <c r="B203" s="106" t="s">
        <v>72</v>
      </c>
      <c r="C203" s="9"/>
      <c r="D203" s="27"/>
      <c r="E203" s="27"/>
      <c r="F203" s="364"/>
      <c r="G203" s="63"/>
      <c r="H203" s="63"/>
    </row>
    <row r="204" spans="1:11" ht="38.25" customHeight="1">
      <c r="A204" s="108" t="s">
        <v>332</v>
      </c>
      <c r="B204" s="20" t="s">
        <v>76</v>
      </c>
      <c r="C204" s="109">
        <v>1010</v>
      </c>
      <c r="D204" s="110">
        <v>18300.7</v>
      </c>
      <c r="E204" s="110">
        <f>E205</f>
        <v>19500</v>
      </c>
      <c r="F204" s="370">
        <f>F205</f>
        <v>23190.9</v>
      </c>
      <c r="G204" s="111">
        <f t="shared" si="55"/>
        <v>3690.9000000000015</v>
      </c>
      <c r="H204" s="111">
        <f t="shared" si="56"/>
        <v>118.92769230769231</v>
      </c>
    </row>
    <row r="205" spans="1:11" ht="24.75" customHeight="1">
      <c r="A205" s="112" t="s">
        <v>336</v>
      </c>
      <c r="B205" s="106" t="s">
        <v>210</v>
      </c>
      <c r="C205" s="119">
        <v>1014</v>
      </c>
      <c r="D205" s="117">
        <v>18300.7</v>
      </c>
      <c r="E205" s="117">
        <v>19500</v>
      </c>
      <c r="F205" s="371">
        <v>23190.9</v>
      </c>
      <c r="G205" s="120">
        <f t="shared" si="55"/>
        <v>3690.9000000000015</v>
      </c>
      <c r="H205" s="120">
        <f t="shared" si="56"/>
        <v>118.92769230769231</v>
      </c>
    </row>
    <row r="206" spans="1:11" ht="26.25" customHeight="1">
      <c r="A206" s="108" t="s">
        <v>333</v>
      </c>
      <c r="B206" s="127" t="s">
        <v>10</v>
      </c>
      <c r="C206" s="109">
        <v>1030</v>
      </c>
      <c r="D206" s="110">
        <v>2589.4</v>
      </c>
      <c r="E206" s="110">
        <f t="shared" ref="E206:F206" si="62">SUM(E207)</f>
        <v>2600</v>
      </c>
      <c r="F206" s="370">
        <f t="shared" si="62"/>
        <v>1194.2</v>
      </c>
      <c r="G206" s="111">
        <f t="shared" si="55"/>
        <v>-1405.8</v>
      </c>
      <c r="H206" s="111">
        <f t="shared" si="56"/>
        <v>45.930769230769229</v>
      </c>
    </row>
    <row r="207" spans="1:11" ht="24" customHeight="1">
      <c r="A207" s="112" t="s">
        <v>337</v>
      </c>
      <c r="B207" s="106" t="s">
        <v>213</v>
      </c>
      <c r="C207" s="119">
        <v>1034</v>
      </c>
      <c r="D207" s="117">
        <v>2589.4</v>
      </c>
      <c r="E207" s="117">
        <v>2600</v>
      </c>
      <c r="F207" s="371">
        <v>1194.2</v>
      </c>
      <c r="G207" s="120">
        <f t="shared" si="55"/>
        <v>-1405.8</v>
      </c>
      <c r="H207" s="120">
        <f t="shared" si="56"/>
        <v>45.930769230769229</v>
      </c>
    </row>
    <row r="208" spans="1:11" ht="141" customHeight="1">
      <c r="B208" s="335" t="s">
        <v>130</v>
      </c>
      <c r="C208" s="335"/>
      <c r="D208" s="336"/>
      <c r="E208" s="336"/>
      <c r="F208" s="378"/>
      <c r="G208" s="337" t="s">
        <v>240</v>
      </c>
      <c r="H208" s="337"/>
    </row>
    <row r="209" spans="2:8">
      <c r="B209" s="272" t="s">
        <v>54</v>
      </c>
      <c r="C209" s="101"/>
      <c r="D209" s="332" t="s">
        <v>9</v>
      </c>
      <c r="E209" s="332"/>
      <c r="F209" s="379"/>
      <c r="G209" s="333" t="s">
        <v>14</v>
      </c>
      <c r="H209" s="333"/>
    </row>
    <row r="210" spans="2:8">
      <c r="B210" s="101"/>
    </row>
    <row r="211" spans="2:8">
      <c r="B211" s="101"/>
      <c r="C211" s="96"/>
      <c r="D211" s="96"/>
      <c r="E211" s="96"/>
      <c r="F211" s="381"/>
    </row>
    <row r="212" spans="2:8">
      <c r="B212" s="101"/>
      <c r="C212" s="96"/>
      <c r="D212" s="96"/>
      <c r="E212" s="96"/>
      <c r="F212" s="381"/>
    </row>
    <row r="213" spans="2:8">
      <c r="B213" s="101"/>
      <c r="C213" s="96"/>
      <c r="D213" s="96"/>
      <c r="E213" s="96"/>
      <c r="F213" s="381"/>
    </row>
    <row r="214" spans="2:8">
      <c r="B214" s="101"/>
      <c r="C214" s="96"/>
      <c r="D214" s="96"/>
      <c r="E214" s="96"/>
      <c r="F214" s="381"/>
    </row>
    <row r="215" spans="2:8">
      <c r="B215" s="101"/>
      <c r="C215" s="96"/>
      <c r="D215" s="96"/>
      <c r="E215" s="96"/>
      <c r="F215" s="381"/>
    </row>
    <row r="216" spans="2:8">
      <c r="B216" s="101"/>
      <c r="C216" s="96"/>
      <c r="D216" s="96"/>
      <c r="E216" s="96"/>
      <c r="F216" s="381"/>
    </row>
    <row r="217" spans="2:8">
      <c r="B217" s="101"/>
      <c r="C217" s="96"/>
      <c r="D217" s="96"/>
      <c r="E217" s="96"/>
      <c r="F217" s="381"/>
    </row>
    <row r="218" spans="2:8">
      <c r="B218" s="101"/>
      <c r="C218" s="96"/>
      <c r="D218" s="96"/>
      <c r="E218" s="96"/>
      <c r="F218" s="381"/>
    </row>
    <row r="219" spans="2:8">
      <c r="B219" s="101"/>
      <c r="C219" s="96"/>
      <c r="D219" s="96"/>
      <c r="E219" s="96"/>
      <c r="F219" s="381"/>
    </row>
    <row r="220" spans="2:8">
      <c r="B220" s="101"/>
      <c r="C220" s="96"/>
      <c r="D220" s="96"/>
      <c r="E220" s="96"/>
      <c r="F220" s="381"/>
    </row>
    <row r="221" spans="2:8">
      <c r="B221" s="101"/>
      <c r="C221" s="96"/>
      <c r="D221" s="96"/>
      <c r="E221" s="96"/>
      <c r="F221" s="381"/>
    </row>
    <row r="222" spans="2:8">
      <c r="B222" s="101"/>
      <c r="C222" s="96"/>
      <c r="D222" s="96"/>
      <c r="E222" s="96"/>
      <c r="F222" s="381"/>
    </row>
    <row r="223" spans="2:8">
      <c r="B223" s="101"/>
      <c r="C223" s="96"/>
      <c r="D223" s="96"/>
      <c r="E223" s="96"/>
      <c r="F223" s="381"/>
    </row>
    <row r="224" spans="2:8">
      <c r="B224" s="101"/>
      <c r="C224" s="96"/>
      <c r="D224" s="96"/>
      <c r="E224" s="96"/>
      <c r="F224" s="381"/>
    </row>
    <row r="225" spans="2:6">
      <c r="B225" s="101"/>
      <c r="C225" s="96"/>
      <c r="D225" s="96"/>
      <c r="E225" s="96"/>
      <c r="F225" s="381"/>
    </row>
    <row r="226" spans="2:6">
      <c r="B226" s="101"/>
      <c r="C226" s="96"/>
      <c r="D226" s="96"/>
      <c r="E226" s="96"/>
      <c r="F226" s="381"/>
    </row>
    <row r="227" spans="2:6">
      <c r="B227" s="101"/>
      <c r="C227" s="96"/>
      <c r="D227" s="96"/>
      <c r="E227" s="96"/>
      <c r="F227" s="381"/>
    </row>
    <row r="228" spans="2:6">
      <c r="B228" s="101"/>
      <c r="C228" s="96"/>
      <c r="D228" s="96"/>
      <c r="E228" s="96"/>
      <c r="F228" s="381"/>
    </row>
    <row r="229" spans="2:6">
      <c r="B229" s="101"/>
      <c r="C229" s="96"/>
      <c r="D229" s="96"/>
      <c r="E229" s="96"/>
      <c r="F229" s="381"/>
    </row>
    <row r="230" spans="2:6">
      <c r="B230" s="101"/>
      <c r="C230" s="96"/>
      <c r="D230" s="96"/>
      <c r="E230" s="96"/>
      <c r="F230" s="381"/>
    </row>
    <row r="231" spans="2:6">
      <c r="B231" s="101"/>
      <c r="C231" s="96"/>
      <c r="D231" s="96"/>
      <c r="E231" s="96"/>
      <c r="F231" s="381"/>
    </row>
    <row r="232" spans="2:6">
      <c r="B232" s="101"/>
      <c r="C232" s="96"/>
      <c r="D232" s="96"/>
      <c r="E232" s="96"/>
      <c r="F232" s="381"/>
    </row>
    <row r="233" spans="2:6">
      <c r="B233" s="101"/>
      <c r="C233" s="96"/>
      <c r="D233" s="96"/>
      <c r="E233" s="96"/>
      <c r="F233" s="381"/>
    </row>
    <row r="234" spans="2:6">
      <c r="B234" s="101"/>
      <c r="C234" s="96"/>
      <c r="D234" s="96"/>
      <c r="E234" s="96"/>
      <c r="F234" s="381"/>
    </row>
    <row r="235" spans="2:6">
      <c r="B235" s="101"/>
      <c r="C235" s="96"/>
      <c r="D235" s="96"/>
      <c r="E235" s="96"/>
      <c r="F235" s="381"/>
    </row>
    <row r="236" spans="2:6">
      <c r="B236" s="101"/>
      <c r="C236" s="96"/>
      <c r="D236" s="96"/>
      <c r="E236" s="96"/>
      <c r="F236" s="381"/>
    </row>
    <row r="237" spans="2:6">
      <c r="B237" s="101"/>
      <c r="C237" s="96"/>
      <c r="D237" s="96"/>
      <c r="E237" s="96"/>
      <c r="F237" s="381"/>
    </row>
    <row r="238" spans="2:6">
      <c r="B238" s="101"/>
      <c r="C238" s="96"/>
      <c r="D238" s="96"/>
      <c r="E238" s="96"/>
      <c r="F238" s="381"/>
    </row>
    <row r="239" spans="2:6">
      <c r="B239" s="101"/>
      <c r="C239" s="96"/>
      <c r="D239" s="96"/>
      <c r="E239" s="96"/>
      <c r="F239" s="381"/>
    </row>
    <row r="240" spans="2:6">
      <c r="B240" s="101"/>
      <c r="C240" s="96"/>
      <c r="D240" s="96"/>
      <c r="E240" s="96"/>
      <c r="F240" s="381"/>
    </row>
    <row r="241" spans="2:6">
      <c r="B241" s="101"/>
      <c r="C241" s="96"/>
      <c r="D241" s="96"/>
      <c r="E241" s="96"/>
      <c r="F241" s="381"/>
    </row>
    <row r="242" spans="2:6">
      <c r="B242" s="101"/>
      <c r="C242" s="96"/>
      <c r="D242" s="96"/>
      <c r="E242" s="96"/>
      <c r="F242" s="381"/>
    </row>
    <row r="243" spans="2:6">
      <c r="B243" s="101"/>
      <c r="C243" s="96"/>
      <c r="D243" s="96"/>
      <c r="E243" s="96"/>
      <c r="F243" s="381"/>
    </row>
  </sheetData>
  <mergeCells count="7">
    <mergeCell ref="D209:E209"/>
    <mergeCell ref="G209:H209"/>
    <mergeCell ref="B1:H1"/>
    <mergeCell ref="A5:B5"/>
    <mergeCell ref="B208:C208"/>
    <mergeCell ref="D208:E208"/>
    <mergeCell ref="G208:H208"/>
  </mergeCells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J88"/>
  <sheetViews>
    <sheetView view="pageBreakPreview" topLeftCell="A36" zoomScale="82" zoomScaleSheetLayoutView="82" workbookViewId="0">
      <selection activeCell="E39" sqref="E39:E43"/>
    </sheetView>
  </sheetViews>
  <sheetFormatPr defaultRowHeight="18.75"/>
  <cols>
    <col min="1" max="1" width="76.42578125" style="5" customWidth="1"/>
    <col min="2" max="2" width="10.140625" style="61" customWidth="1"/>
    <col min="3" max="3" width="14.7109375" style="261" customWidth="1"/>
    <col min="4" max="4" width="14.28515625" style="30" customWidth="1"/>
    <col min="5" max="5" width="14.140625" style="30" customWidth="1"/>
    <col min="6" max="6" width="14.28515625" style="61" customWidth="1"/>
    <col min="7" max="7" width="14" style="61" customWidth="1"/>
    <col min="8" max="8" width="13.140625" style="5" customWidth="1"/>
    <col min="9" max="9" width="11.140625" style="5" bestFit="1" customWidth="1"/>
    <col min="10" max="10" width="22.42578125" style="5" customWidth="1"/>
    <col min="11" max="11" width="9.140625" style="5"/>
    <col min="12" max="12" width="19.28515625" style="5" customWidth="1"/>
    <col min="13" max="16384" width="9.140625" style="5"/>
  </cols>
  <sheetData>
    <row r="1" spans="1:7" ht="19.5" customHeight="1">
      <c r="A1" s="323" t="s">
        <v>85</v>
      </c>
      <c r="B1" s="323"/>
      <c r="C1" s="323"/>
      <c r="D1" s="323"/>
      <c r="E1" s="323"/>
      <c r="F1" s="323"/>
    </row>
    <row r="2" spans="1:7" ht="15" customHeight="1">
      <c r="A2" s="205"/>
      <c r="B2" s="270"/>
      <c r="C2" s="231"/>
      <c r="D2" s="273"/>
      <c r="E2" s="280"/>
      <c r="F2" s="270"/>
      <c r="G2" s="24" t="s">
        <v>59</v>
      </c>
    </row>
    <row r="3" spans="1:7" ht="87.75" customHeight="1">
      <c r="A3" s="48" t="s">
        <v>20</v>
      </c>
      <c r="B3" s="11" t="s">
        <v>4</v>
      </c>
      <c r="C3" s="11" t="s">
        <v>357</v>
      </c>
      <c r="D3" s="10" t="s">
        <v>358</v>
      </c>
      <c r="E3" s="11" t="s">
        <v>359</v>
      </c>
      <c r="F3" s="99" t="s">
        <v>95</v>
      </c>
      <c r="G3" s="11" t="s">
        <v>96</v>
      </c>
    </row>
    <row r="4" spans="1:7" s="14" customFormat="1" ht="21" customHeight="1">
      <c r="A4" s="48">
        <v>1</v>
      </c>
      <c r="B4" s="39">
        <v>2</v>
      </c>
      <c r="C4" s="232">
        <v>3</v>
      </c>
      <c r="D4" s="17">
        <v>4</v>
      </c>
      <c r="E4" s="17">
        <v>5</v>
      </c>
      <c r="F4" s="39">
        <v>6</v>
      </c>
      <c r="G4" s="15">
        <v>7</v>
      </c>
    </row>
    <row r="5" spans="1:7" ht="32.25" customHeight="1">
      <c r="A5" s="32" t="s">
        <v>211</v>
      </c>
      <c r="B5" s="13">
        <v>4000</v>
      </c>
      <c r="C5" s="49">
        <f>C6+C44+C49</f>
        <v>16604.299999999996</v>
      </c>
      <c r="D5" s="49">
        <f>D6+D44+D49</f>
        <v>1700</v>
      </c>
      <c r="E5" s="49">
        <f>E6+E44+E49</f>
        <v>10892.099999999999</v>
      </c>
      <c r="F5" s="50">
        <f t="shared" ref="F5:F6" si="0">E5-D5</f>
        <v>9192.0999999999985</v>
      </c>
      <c r="G5" s="159">
        <f>(E5/D5)*100</f>
        <v>640.71176470588227</v>
      </c>
    </row>
    <row r="6" spans="1:7" ht="24.75" customHeight="1">
      <c r="A6" s="20" t="s">
        <v>150</v>
      </c>
      <c r="B6" s="162">
        <v>4020</v>
      </c>
      <c r="C6" s="164">
        <f>SUM(C7:C24)</f>
        <v>12459.099999999999</v>
      </c>
      <c r="D6" s="164">
        <f>SUM(D7:D15)</f>
        <v>0</v>
      </c>
      <c r="E6" s="164">
        <f>SUM(E7:E43)</f>
        <v>8249.1999999999989</v>
      </c>
      <c r="F6" s="165">
        <f t="shared" si="0"/>
        <v>8249.1999999999989</v>
      </c>
      <c r="G6" s="160" t="e">
        <f t="shared" ref="G6" si="1">(E6/D6)*100</f>
        <v>#DIV/0!</v>
      </c>
    </row>
    <row r="7" spans="1:7" ht="23.25" customHeight="1">
      <c r="A7" s="16" t="s">
        <v>252</v>
      </c>
      <c r="B7" s="21"/>
      <c r="C7" s="259">
        <v>96</v>
      </c>
      <c r="D7" s="19"/>
      <c r="E7" s="19"/>
      <c r="F7" s="12">
        <f>E7-D7</f>
        <v>0</v>
      </c>
      <c r="G7" s="92" t="e">
        <f>E7/D7*100</f>
        <v>#DIV/0!</v>
      </c>
    </row>
    <row r="8" spans="1:7" ht="43.5" customHeight="1">
      <c r="A8" s="16" t="s">
        <v>253</v>
      </c>
      <c r="B8" s="21"/>
      <c r="C8" s="259">
        <v>237.9</v>
      </c>
      <c r="D8" s="19"/>
      <c r="E8" s="19"/>
      <c r="F8" s="12">
        <f t="shared" ref="F8:F10" si="2">E8-D8</f>
        <v>0</v>
      </c>
      <c r="G8" s="92" t="e">
        <f t="shared" ref="G8:G9" si="3">E8/D8*100</f>
        <v>#DIV/0!</v>
      </c>
    </row>
    <row r="9" spans="1:7" ht="26.25" customHeight="1">
      <c r="A9" s="16" t="s">
        <v>254</v>
      </c>
      <c r="B9" s="21"/>
      <c r="C9" s="259">
        <v>24.8</v>
      </c>
      <c r="D9" s="19"/>
      <c r="E9" s="19"/>
      <c r="F9" s="12">
        <f t="shared" si="2"/>
        <v>0</v>
      </c>
      <c r="G9" s="92" t="e">
        <f t="shared" si="3"/>
        <v>#DIV/0!</v>
      </c>
    </row>
    <row r="10" spans="1:7" ht="27" customHeight="1">
      <c r="A10" s="16" t="s">
        <v>255</v>
      </c>
      <c r="B10" s="21"/>
      <c r="C10" s="259">
        <v>26.9</v>
      </c>
      <c r="D10" s="19"/>
      <c r="E10" s="19"/>
      <c r="F10" s="12">
        <f t="shared" si="2"/>
        <v>0</v>
      </c>
      <c r="G10" s="92"/>
    </row>
    <row r="11" spans="1:7" ht="27" customHeight="1">
      <c r="A11" s="233" t="s">
        <v>338</v>
      </c>
      <c r="B11" s="21"/>
      <c r="C11" s="259">
        <v>1648.2</v>
      </c>
      <c r="D11" s="19"/>
      <c r="E11" s="19"/>
      <c r="F11" s="12"/>
      <c r="G11" s="92"/>
    </row>
    <row r="12" spans="1:7" ht="27" customHeight="1">
      <c r="A12" s="233" t="s">
        <v>339</v>
      </c>
      <c r="B12" s="21"/>
      <c r="C12" s="259">
        <v>51.1</v>
      </c>
      <c r="D12" s="19"/>
      <c r="E12" s="19"/>
      <c r="F12" s="12"/>
      <c r="G12" s="92"/>
    </row>
    <row r="13" spans="1:7" ht="27" customHeight="1">
      <c r="A13" s="233" t="s">
        <v>340</v>
      </c>
      <c r="B13" s="21"/>
      <c r="C13" s="259">
        <v>167</v>
      </c>
      <c r="D13" s="19"/>
      <c r="E13" s="19"/>
      <c r="F13" s="12"/>
      <c r="G13" s="92"/>
    </row>
    <row r="14" spans="1:7" ht="27" customHeight="1">
      <c r="A14" s="233" t="s">
        <v>341</v>
      </c>
      <c r="B14" s="21"/>
      <c r="C14" s="259">
        <v>4204</v>
      </c>
      <c r="D14" s="19"/>
      <c r="E14" s="19"/>
      <c r="F14" s="12"/>
      <c r="G14" s="92"/>
    </row>
    <row r="15" spans="1:7" ht="26.25" customHeight="1">
      <c r="A15" s="234" t="s">
        <v>342</v>
      </c>
      <c r="B15" s="21"/>
      <c r="C15" s="259">
        <v>33.9</v>
      </c>
      <c r="D15" s="19"/>
      <c r="E15" s="19"/>
      <c r="F15" s="12"/>
      <c r="G15" s="33"/>
    </row>
    <row r="16" spans="1:7" ht="26.25" customHeight="1">
      <c r="A16" s="255" t="s">
        <v>373</v>
      </c>
      <c r="B16" s="21"/>
      <c r="C16" s="260">
        <v>81.8</v>
      </c>
      <c r="D16" s="19"/>
      <c r="E16" s="19"/>
      <c r="F16" s="12"/>
      <c r="G16" s="33"/>
    </row>
    <row r="17" spans="1:10" ht="26.25" customHeight="1">
      <c r="A17" s="255" t="s">
        <v>374</v>
      </c>
      <c r="B17" s="21"/>
      <c r="C17" s="260">
        <v>110.3</v>
      </c>
      <c r="D17" s="19"/>
      <c r="E17" s="19"/>
      <c r="F17" s="12"/>
      <c r="G17" s="33"/>
    </row>
    <row r="18" spans="1:10" ht="38.25" customHeight="1">
      <c r="A18" s="255" t="s">
        <v>375</v>
      </c>
      <c r="B18" s="21"/>
      <c r="C18" s="260">
        <v>363.9</v>
      </c>
      <c r="D18" s="19"/>
      <c r="E18" s="19"/>
      <c r="F18" s="12"/>
      <c r="G18" s="33"/>
    </row>
    <row r="19" spans="1:10" ht="26.25" customHeight="1">
      <c r="A19" s="255" t="s">
        <v>376</v>
      </c>
      <c r="B19" s="21"/>
      <c r="C19" s="260">
        <v>2612.4</v>
      </c>
      <c r="D19" s="19"/>
      <c r="E19" s="19"/>
      <c r="F19" s="12"/>
      <c r="G19" s="33"/>
    </row>
    <row r="20" spans="1:10" ht="26.25" customHeight="1">
      <c r="A20" s="255" t="s">
        <v>377</v>
      </c>
      <c r="B20" s="21"/>
      <c r="C20" s="260">
        <v>160.5</v>
      </c>
      <c r="D20" s="19"/>
      <c r="E20" s="19"/>
      <c r="F20" s="12"/>
      <c r="G20" s="33"/>
    </row>
    <row r="21" spans="1:10" ht="26.25" customHeight="1">
      <c r="A21" s="255" t="s">
        <v>378</v>
      </c>
      <c r="B21" s="21"/>
      <c r="C21" s="260">
        <v>648.4</v>
      </c>
      <c r="D21" s="19"/>
      <c r="E21" s="19"/>
      <c r="F21" s="12"/>
      <c r="G21" s="33"/>
    </row>
    <row r="22" spans="1:10" ht="26.25" customHeight="1">
      <c r="A22" s="255" t="s">
        <v>379</v>
      </c>
      <c r="B22" s="21"/>
      <c r="C22" s="260">
        <v>140</v>
      </c>
      <c r="D22" s="19"/>
      <c r="E22" s="19"/>
      <c r="F22" s="12"/>
      <c r="G22" s="33"/>
    </row>
    <row r="23" spans="1:10" ht="26.25" customHeight="1">
      <c r="A23" s="255" t="s">
        <v>380</v>
      </c>
      <c r="B23" s="21"/>
      <c r="C23" s="260">
        <v>31.1</v>
      </c>
      <c r="D23" s="19"/>
      <c r="E23" s="19"/>
      <c r="F23" s="12"/>
      <c r="G23" s="33"/>
    </row>
    <row r="24" spans="1:10" ht="76.5" customHeight="1">
      <c r="A24" s="255" t="s">
        <v>381</v>
      </c>
      <c r="B24" s="21"/>
      <c r="C24" s="260">
        <v>1820.9</v>
      </c>
      <c r="D24" s="19"/>
      <c r="E24" s="19"/>
      <c r="F24" s="12"/>
      <c r="G24" s="33"/>
    </row>
    <row r="25" spans="1:10" ht="26.25" customHeight="1">
      <c r="A25" s="28" t="s">
        <v>304</v>
      </c>
      <c r="B25" s="21"/>
      <c r="C25" s="19"/>
      <c r="D25" s="19"/>
      <c r="E25" s="19">
        <v>556</v>
      </c>
      <c r="F25" s="12"/>
      <c r="G25" s="33"/>
      <c r="H25" s="5" t="s">
        <v>397</v>
      </c>
      <c r="J25" s="215">
        <f>E25+E26+E38+E39+E40+E41+E42+E43</f>
        <v>2555.0000000000005</v>
      </c>
    </row>
    <row r="26" spans="1:10" ht="26.25" customHeight="1">
      <c r="A26" s="28" t="s">
        <v>305</v>
      </c>
      <c r="B26" s="21"/>
      <c r="C26" s="19"/>
      <c r="D26" s="19"/>
      <c r="E26" s="19">
        <v>439</v>
      </c>
      <c r="F26" s="12"/>
      <c r="G26" s="33"/>
      <c r="H26" s="5" t="s">
        <v>397</v>
      </c>
    </row>
    <row r="27" spans="1:10" ht="26.25" customHeight="1">
      <c r="A27" s="28" t="s">
        <v>311</v>
      </c>
      <c r="B27" s="21"/>
      <c r="C27" s="19"/>
      <c r="D27" s="19"/>
      <c r="E27" s="19">
        <v>20.399999999999999</v>
      </c>
      <c r="F27" s="12"/>
      <c r="G27" s="33"/>
      <c r="H27" s="5" t="s">
        <v>398</v>
      </c>
    </row>
    <row r="28" spans="1:10" ht="26.25" customHeight="1">
      <c r="A28" s="28" t="s">
        <v>306</v>
      </c>
      <c r="B28" s="21"/>
      <c r="C28" s="19"/>
      <c r="D28" s="19"/>
      <c r="E28" s="19">
        <f>2940+756.7</f>
        <v>3696.7</v>
      </c>
      <c r="F28" s="12"/>
      <c r="G28" s="33"/>
      <c r="H28" s="215">
        <f>E28+E29+E30+E31+E32+E33+E34+E35+E36+E37</f>
        <v>5673.7999999999993</v>
      </c>
    </row>
    <row r="29" spans="1:10" ht="26.25" customHeight="1">
      <c r="A29" s="28" t="s">
        <v>307</v>
      </c>
      <c r="B29" s="21"/>
      <c r="C29" s="19"/>
      <c r="D29" s="19"/>
      <c r="E29" s="19">
        <v>186.5</v>
      </c>
      <c r="F29" s="12"/>
      <c r="G29" s="33"/>
    </row>
    <row r="30" spans="1:10" ht="26.25" customHeight="1">
      <c r="A30" s="28" t="s">
        <v>308</v>
      </c>
      <c r="B30" s="21"/>
      <c r="C30" s="19"/>
      <c r="D30" s="19"/>
      <c r="E30" s="19">
        <v>68.099999999999994</v>
      </c>
      <c r="F30" s="12"/>
      <c r="G30" s="33"/>
    </row>
    <row r="31" spans="1:10" ht="26.25" customHeight="1">
      <c r="A31" s="28" t="s">
        <v>309</v>
      </c>
      <c r="B31" s="21"/>
      <c r="C31" s="19"/>
      <c r="D31" s="19"/>
      <c r="E31" s="19">
        <v>91.6</v>
      </c>
      <c r="F31" s="12"/>
      <c r="G31" s="33"/>
    </row>
    <row r="32" spans="1:10" ht="26.25" customHeight="1">
      <c r="A32" s="28" t="s">
        <v>310</v>
      </c>
      <c r="B32" s="21"/>
      <c r="C32" s="19"/>
      <c r="D32" s="19"/>
      <c r="E32" s="19">
        <v>239.6</v>
      </c>
      <c r="F32" s="12"/>
      <c r="G32" s="33"/>
    </row>
    <row r="33" spans="1:9" ht="26.25" customHeight="1">
      <c r="A33" s="28" t="s">
        <v>399</v>
      </c>
      <c r="B33" s="21"/>
      <c r="C33" s="19"/>
      <c r="D33" s="19"/>
      <c r="E33" s="19">
        <v>180.4</v>
      </c>
      <c r="F33" s="12"/>
      <c r="G33" s="33"/>
    </row>
    <row r="34" spans="1:9" ht="26.25" customHeight="1">
      <c r="A34" s="28" t="s">
        <v>400</v>
      </c>
      <c r="B34" s="21"/>
      <c r="C34" s="19"/>
      <c r="D34" s="19"/>
      <c r="E34" s="19">
        <v>82</v>
      </c>
      <c r="F34" s="12"/>
      <c r="G34" s="33"/>
    </row>
    <row r="35" spans="1:9" ht="26.25" customHeight="1">
      <c r="A35" s="28" t="s">
        <v>403</v>
      </c>
      <c r="B35" s="21"/>
      <c r="C35" s="19"/>
      <c r="D35" s="19"/>
      <c r="E35" s="19">
        <v>972.9</v>
      </c>
      <c r="F35" s="12"/>
      <c r="G35" s="33"/>
    </row>
    <row r="36" spans="1:9" ht="26.25" customHeight="1">
      <c r="A36" s="28" t="s">
        <v>401</v>
      </c>
      <c r="B36" s="21"/>
      <c r="C36" s="19"/>
      <c r="D36" s="19"/>
      <c r="E36" s="19">
        <v>122</v>
      </c>
      <c r="F36" s="12"/>
      <c r="G36" s="33"/>
    </row>
    <row r="37" spans="1:9" ht="26.25" customHeight="1">
      <c r="A37" s="28" t="s">
        <v>402</v>
      </c>
      <c r="B37" s="21"/>
      <c r="C37" s="19"/>
      <c r="D37" s="19"/>
      <c r="E37" s="19">
        <v>34</v>
      </c>
      <c r="F37" s="12"/>
      <c r="G37" s="33"/>
    </row>
    <row r="38" spans="1:9" ht="26.25" customHeight="1">
      <c r="A38" s="28" t="s">
        <v>348</v>
      </c>
      <c r="B38" s="21"/>
      <c r="C38" s="19"/>
      <c r="D38" s="19"/>
      <c r="E38" s="19">
        <v>47</v>
      </c>
      <c r="F38" s="12"/>
      <c r="G38" s="33"/>
      <c r="H38" s="5" t="s">
        <v>397</v>
      </c>
    </row>
    <row r="39" spans="1:9" ht="26.25" customHeight="1">
      <c r="A39" s="28" t="s">
        <v>392</v>
      </c>
      <c r="B39" s="21"/>
      <c r="C39" s="19"/>
      <c r="D39" s="19"/>
      <c r="E39" s="19">
        <v>279.39999999999998</v>
      </c>
      <c r="F39" s="12"/>
      <c r="G39" s="33"/>
      <c r="H39" s="5" t="s">
        <v>397</v>
      </c>
    </row>
    <row r="40" spans="1:9" ht="26.25" customHeight="1">
      <c r="A40" s="28" t="s">
        <v>393</v>
      </c>
      <c r="B40" s="21"/>
      <c r="C40" s="19"/>
      <c r="D40" s="19"/>
      <c r="E40" s="19">
        <v>326</v>
      </c>
      <c r="F40" s="12"/>
      <c r="G40" s="33"/>
      <c r="H40" s="5" t="s">
        <v>397</v>
      </c>
    </row>
    <row r="41" spans="1:9" ht="26.25" customHeight="1">
      <c r="A41" s="28" t="s">
        <v>394</v>
      </c>
      <c r="B41" s="21"/>
      <c r="C41" s="19"/>
      <c r="D41" s="19"/>
      <c r="E41" s="19">
        <v>781.2</v>
      </c>
      <c r="F41" s="12"/>
      <c r="G41" s="33"/>
      <c r="H41" s="5" t="s">
        <v>397</v>
      </c>
    </row>
    <row r="42" spans="1:9" ht="26.25" customHeight="1">
      <c r="A42" s="28" t="s">
        <v>395</v>
      </c>
      <c r="B42" s="21"/>
      <c r="C42" s="19"/>
      <c r="D42" s="19"/>
      <c r="E42" s="19">
        <v>31.8</v>
      </c>
      <c r="F42" s="12"/>
      <c r="G42" s="33"/>
      <c r="H42" s="5" t="s">
        <v>397</v>
      </c>
    </row>
    <row r="43" spans="1:9" ht="26.25" customHeight="1">
      <c r="A43" s="28" t="s">
        <v>396</v>
      </c>
      <c r="B43" s="21"/>
      <c r="C43" s="19"/>
      <c r="D43" s="19"/>
      <c r="E43" s="19">
        <v>94.6</v>
      </c>
      <c r="F43" s="12"/>
      <c r="G43" s="33"/>
      <c r="H43" s="5" t="s">
        <v>397</v>
      </c>
    </row>
    <row r="44" spans="1:9" ht="46.5" customHeight="1">
      <c r="A44" s="20" t="s">
        <v>57</v>
      </c>
      <c r="B44" s="162">
        <v>4050</v>
      </c>
      <c r="C44" s="111">
        <f>C45+C46+C47+C48</f>
        <v>1204.3</v>
      </c>
      <c r="D44" s="120"/>
      <c r="E44" s="111">
        <f>E45+E46+E47+E48</f>
        <v>597.9</v>
      </c>
      <c r="F44" s="156">
        <f t="shared" ref="F44" si="4">E44-D44</f>
        <v>597.9</v>
      </c>
      <c r="G44" s="163" t="e">
        <f t="shared" ref="G44" si="5">E44/D44*100</f>
        <v>#DIV/0!</v>
      </c>
    </row>
    <row r="45" spans="1:9" ht="38.25" customHeight="1">
      <c r="A45" s="235" t="s">
        <v>343</v>
      </c>
      <c r="B45" s="162"/>
      <c r="C45" s="19">
        <v>65.099999999999994</v>
      </c>
      <c r="D45" s="120"/>
      <c r="E45" s="19">
        <v>135</v>
      </c>
      <c r="F45" s="156"/>
      <c r="G45" s="163"/>
      <c r="H45" s="264" t="s">
        <v>390</v>
      </c>
      <c r="I45" s="215">
        <f>E45+E47+E48</f>
        <v>597.9</v>
      </c>
    </row>
    <row r="46" spans="1:9" ht="21" customHeight="1">
      <c r="A46" s="256" t="s">
        <v>382</v>
      </c>
      <c r="B46" s="162"/>
      <c r="C46" s="257">
        <v>16.3</v>
      </c>
      <c r="D46" s="120"/>
      <c r="E46" s="111"/>
      <c r="F46" s="156"/>
      <c r="G46" s="163"/>
    </row>
    <row r="47" spans="1:9" ht="19.5" customHeight="1">
      <c r="A47" s="256" t="s">
        <v>383</v>
      </c>
      <c r="B47" s="162"/>
      <c r="C47" s="258">
        <v>1107.0999999999999</v>
      </c>
      <c r="D47" s="120"/>
      <c r="E47" s="19">
        <v>454.8</v>
      </c>
      <c r="F47" s="156"/>
      <c r="G47" s="163"/>
      <c r="H47" s="264" t="s">
        <v>390</v>
      </c>
      <c r="I47" s="215"/>
    </row>
    <row r="48" spans="1:9" ht="38.25" customHeight="1">
      <c r="A48" s="256" t="s">
        <v>384</v>
      </c>
      <c r="B48" s="162"/>
      <c r="C48" s="258">
        <v>15.8</v>
      </c>
      <c r="D48" s="120"/>
      <c r="E48" s="19">
        <v>8.1</v>
      </c>
      <c r="F48" s="156"/>
      <c r="G48" s="163"/>
      <c r="H48" s="264" t="s">
        <v>390</v>
      </c>
    </row>
    <row r="49" spans="1:10" ht="24.75" customHeight="1">
      <c r="A49" s="157" t="s">
        <v>256</v>
      </c>
      <c r="B49" s="135">
        <v>4060</v>
      </c>
      <c r="C49" s="158">
        <f>C50+C51+C52</f>
        <v>2940.8999999999996</v>
      </c>
      <c r="D49" s="158">
        <f>D50+D51+D52+D53</f>
        <v>1700</v>
      </c>
      <c r="E49" s="158">
        <f>E50+E53+E54+E55+E56</f>
        <v>2045</v>
      </c>
      <c r="F49" s="156">
        <f t="shared" ref="F49:F50" si="6">E49-D49</f>
        <v>345</v>
      </c>
      <c r="G49" s="161">
        <f>E49/D49*100</f>
        <v>120.29411764705881</v>
      </c>
    </row>
    <row r="50" spans="1:10" ht="39.75" customHeight="1">
      <c r="A50" s="133" t="s">
        <v>257</v>
      </c>
      <c r="B50" s="11"/>
      <c r="C50" s="19">
        <v>2877.2</v>
      </c>
      <c r="D50" s="19"/>
      <c r="E50" s="19"/>
      <c r="F50" s="12">
        <f t="shared" si="6"/>
        <v>0</v>
      </c>
      <c r="G50" s="33"/>
    </row>
    <row r="51" spans="1:10" ht="21" customHeight="1">
      <c r="A51" s="256" t="s">
        <v>385</v>
      </c>
      <c r="B51" s="11"/>
      <c r="C51" s="19">
        <v>44.1</v>
      </c>
      <c r="D51" s="19"/>
      <c r="E51" s="19"/>
      <c r="F51" s="12"/>
      <c r="G51" s="33"/>
    </row>
    <row r="52" spans="1:10" ht="21.75" customHeight="1">
      <c r="A52" s="235" t="s">
        <v>344</v>
      </c>
      <c r="B52" s="11"/>
      <c r="C52" s="19">
        <v>19.600000000000001</v>
      </c>
      <c r="D52" s="19"/>
      <c r="E52" s="19"/>
      <c r="F52" s="12"/>
      <c r="G52" s="33"/>
    </row>
    <row r="53" spans="1:10" ht="39.75" customHeight="1">
      <c r="A53" s="133" t="s">
        <v>312</v>
      </c>
      <c r="B53" s="11"/>
      <c r="C53" s="19"/>
      <c r="D53" s="19">
        <v>1700</v>
      </c>
      <c r="E53" s="19">
        <f>1935.4+64.2</f>
        <v>1999.6000000000001</v>
      </c>
      <c r="F53" s="12"/>
      <c r="G53" s="33"/>
      <c r="H53" s="5">
        <v>1980.8</v>
      </c>
      <c r="I53" s="5" t="s">
        <v>390</v>
      </c>
      <c r="J53" s="5" t="s">
        <v>404</v>
      </c>
    </row>
    <row r="54" spans="1:10" ht="39.75" customHeight="1">
      <c r="A54" s="133" t="s">
        <v>349</v>
      </c>
      <c r="B54" s="11"/>
      <c r="C54" s="19"/>
      <c r="D54" s="19"/>
      <c r="E54" s="19">
        <f>14.8+6.7</f>
        <v>21.5</v>
      </c>
      <c r="F54" s="12"/>
      <c r="G54" s="33"/>
    </row>
    <row r="55" spans="1:10" ht="20.25" customHeight="1">
      <c r="A55" s="235" t="s">
        <v>389</v>
      </c>
      <c r="B55" s="11"/>
      <c r="C55" s="19"/>
      <c r="D55" s="19"/>
      <c r="E55" s="19">
        <v>19.600000000000001</v>
      </c>
      <c r="F55" s="12"/>
      <c r="G55" s="263"/>
      <c r="H55" s="264" t="s">
        <v>390</v>
      </c>
      <c r="J55" s="215"/>
    </row>
    <row r="56" spans="1:10" ht="20.25" customHeight="1">
      <c r="A56" s="235" t="s">
        <v>391</v>
      </c>
      <c r="B56" s="11"/>
      <c r="C56" s="19"/>
      <c r="D56" s="19"/>
      <c r="E56" s="19">
        <v>4.3</v>
      </c>
      <c r="F56" s="12"/>
      <c r="G56" s="263"/>
      <c r="H56" s="264" t="s">
        <v>390</v>
      </c>
    </row>
    <row r="57" spans="1:10" ht="77.25" customHeight="1">
      <c r="A57" s="319" t="s">
        <v>130</v>
      </c>
      <c r="B57" s="319"/>
      <c r="C57" s="236"/>
      <c r="D57" s="237"/>
      <c r="E57" s="282"/>
      <c r="F57" s="90" t="s">
        <v>240</v>
      </c>
      <c r="G57" s="91"/>
    </row>
    <row r="58" spans="1:10" s="14" customFormat="1" ht="16.5" customHeight="1">
      <c r="A58" s="25" t="s">
        <v>8</v>
      </c>
      <c r="B58" s="274"/>
      <c r="C58" s="338" t="s">
        <v>9</v>
      </c>
      <c r="D58" s="338"/>
      <c r="E58" s="339" t="s">
        <v>14</v>
      </c>
      <c r="F58" s="339"/>
      <c r="G58" s="339"/>
    </row>
    <row r="59" spans="1:10">
      <c r="A59" s="6"/>
    </row>
    <row r="60" spans="1:10">
      <c r="A60" s="6"/>
    </row>
    <row r="61" spans="1:10">
      <c r="A61" s="6"/>
    </row>
    <row r="62" spans="1:10">
      <c r="A62" s="6"/>
    </row>
    <row r="63" spans="1:10">
      <c r="A63" s="6"/>
    </row>
    <row r="64" spans="1:10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</sheetData>
  <mergeCells count="4">
    <mergeCell ref="A1:F1"/>
    <mergeCell ref="A57:B57"/>
    <mergeCell ref="C58:D58"/>
    <mergeCell ref="E58:G58"/>
  </mergeCells>
  <printOptions horizontalCentered="1"/>
  <pageMargins left="0.39370078740157483" right="0.39370078740157483" top="0.59055118110236227" bottom="0.39370078740157483" header="0.19685039370078741" footer="0.19685039370078741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N42"/>
  <sheetViews>
    <sheetView view="pageBreakPreview" topLeftCell="D31" zoomScale="86" zoomScaleNormal="60" zoomScaleSheetLayoutView="86" workbookViewId="0">
      <selection activeCell="E32" sqref="E32"/>
    </sheetView>
  </sheetViews>
  <sheetFormatPr defaultRowHeight="20.25"/>
  <cols>
    <col min="1" max="1" width="5.42578125" style="36" customWidth="1"/>
    <col min="2" max="2" width="37.5703125" style="36" customWidth="1"/>
    <col min="3" max="3" width="14.28515625" style="36" customWidth="1"/>
    <col min="4" max="4" width="13.7109375" style="36" customWidth="1"/>
    <col min="5" max="5" width="14" style="36" customWidth="1"/>
    <col min="6" max="6" width="14.5703125" style="36" customWidth="1"/>
    <col min="7" max="7" width="14" style="36" customWidth="1"/>
    <col min="8" max="8" width="13.5703125" style="36" customWidth="1"/>
    <col min="9" max="9" width="13.7109375" style="36" customWidth="1"/>
    <col min="10" max="10" width="13.42578125" style="36" customWidth="1"/>
    <col min="11" max="11" width="13.5703125" style="36" customWidth="1"/>
    <col min="12" max="12" width="13.140625" style="36" customWidth="1"/>
    <col min="13" max="13" width="12.28515625" style="36" customWidth="1"/>
    <col min="14" max="14" width="13.42578125" style="36" customWidth="1"/>
    <col min="15" max="16" width="9.140625" style="3"/>
    <col min="17" max="19" width="9.140625" style="3" customWidth="1"/>
    <col min="20" max="16384" width="9.140625" style="3"/>
  </cols>
  <sheetData>
    <row r="1" spans="1:14" s="7" customFormat="1" ht="32.25" customHeight="1">
      <c r="A1" s="306" t="s">
        <v>136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7"/>
    </row>
    <row r="2" spans="1:14">
      <c r="A2" s="56"/>
      <c r="B2" s="56"/>
      <c r="C2" s="38"/>
      <c r="D2" s="38"/>
      <c r="E2" s="38"/>
      <c r="F2" s="38"/>
      <c r="N2" s="57" t="s">
        <v>45</v>
      </c>
    </row>
    <row r="3" spans="1:14" ht="60" customHeight="1">
      <c r="A3" s="343" t="s">
        <v>6</v>
      </c>
      <c r="B3" s="350" t="s">
        <v>17</v>
      </c>
      <c r="C3" s="345" t="s">
        <v>103</v>
      </c>
      <c r="D3" s="346"/>
      <c r="E3" s="345" t="s">
        <v>204</v>
      </c>
      <c r="F3" s="346"/>
      <c r="G3" s="345" t="s">
        <v>313</v>
      </c>
      <c r="H3" s="346"/>
      <c r="I3" s="345" t="s">
        <v>205</v>
      </c>
      <c r="J3" s="346"/>
      <c r="K3" s="345" t="s">
        <v>104</v>
      </c>
      <c r="L3" s="346"/>
      <c r="M3" s="346"/>
      <c r="N3" s="347"/>
    </row>
    <row r="4" spans="1:14" ht="81" customHeight="1">
      <c r="A4" s="344"/>
      <c r="B4" s="351"/>
      <c r="C4" s="10" t="s">
        <v>358</v>
      </c>
      <c r="D4" s="11" t="s">
        <v>359</v>
      </c>
      <c r="E4" s="10" t="s">
        <v>358</v>
      </c>
      <c r="F4" s="11" t="s">
        <v>359</v>
      </c>
      <c r="G4" s="10" t="s">
        <v>358</v>
      </c>
      <c r="H4" s="11" t="s">
        <v>359</v>
      </c>
      <c r="I4" s="10" t="s">
        <v>358</v>
      </c>
      <c r="J4" s="11" t="s">
        <v>359</v>
      </c>
      <c r="K4" s="10" t="s">
        <v>358</v>
      </c>
      <c r="L4" s="11" t="s">
        <v>359</v>
      </c>
      <c r="M4" s="39" t="s">
        <v>92</v>
      </c>
      <c r="N4" s="39" t="s">
        <v>94</v>
      </c>
    </row>
    <row r="5" spans="1:14" ht="16.5" customHeight="1">
      <c r="A5" s="39">
        <v>1</v>
      </c>
      <c r="B5" s="208">
        <v>2</v>
      </c>
      <c r="C5" s="15">
        <v>3</v>
      </c>
      <c r="D5" s="39">
        <v>4</v>
      </c>
      <c r="E5" s="15">
        <v>5</v>
      </c>
      <c r="F5" s="39">
        <v>6</v>
      </c>
      <c r="G5" s="15">
        <v>7</v>
      </c>
      <c r="H5" s="39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</row>
    <row r="6" spans="1:14" ht="58.5" customHeight="1">
      <c r="A6" s="152">
        <v>1</v>
      </c>
      <c r="B6" s="136" t="s">
        <v>258</v>
      </c>
      <c r="C6" s="40"/>
      <c r="D6" s="40"/>
      <c r="E6" s="40"/>
      <c r="F6" s="40"/>
      <c r="G6" s="40"/>
      <c r="H6" s="40">
        <f>SUM(H7:H25)</f>
        <v>5694.1999999999989</v>
      </c>
      <c r="I6" s="40">
        <f>I17+I18+I19+I20</f>
        <v>0</v>
      </c>
      <c r="J6" s="40">
        <f>SUM(J7:J25)</f>
        <v>2555.0000000000005</v>
      </c>
      <c r="K6" s="40">
        <f>C6+E6+G6+I6</f>
        <v>0</v>
      </c>
      <c r="L6" s="40">
        <f>D6+F6+H6+J6</f>
        <v>8249.1999999999989</v>
      </c>
      <c r="M6" s="40">
        <f>K6-L6</f>
        <v>-8249.1999999999989</v>
      </c>
      <c r="N6" s="40" t="e">
        <f>L6/K6*100</f>
        <v>#DIV/0!</v>
      </c>
    </row>
    <row r="7" spans="1:14" ht="58.5" customHeight="1">
      <c r="A7" s="152"/>
      <c r="B7" s="28" t="s">
        <v>304</v>
      </c>
      <c r="C7" s="40"/>
      <c r="D7" s="19"/>
      <c r="E7" s="40"/>
      <c r="F7" s="40"/>
      <c r="G7" s="40"/>
      <c r="H7" s="40"/>
      <c r="I7" s="40"/>
      <c r="J7" s="19">
        <v>556</v>
      </c>
      <c r="K7" s="40"/>
      <c r="L7" s="40"/>
      <c r="M7" s="40"/>
      <c r="N7" s="40"/>
    </row>
    <row r="8" spans="1:14" ht="59.25" customHeight="1">
      <c r="A8" s="152"/>
      <c r="B8" s="28" t="s">
        <v>305</v>
      </c>
      <c r="C8" s="40"/>
      <c r="D8" s="19"/>
      <c r="E8" s="40"/>
      <c r="F8" s="40"/>
      <c r="G8" s="40"/>
      <c r="H8" s="40"/>
      <c r="I8" s="40"/>
      <c r="J8" s="19">
        <v>439</v>
      </c>
      <c r="K8" s="40"/>
      <c r="L8" s="40"/>
      <c r="M8" s="40"/>
      <c r="N8" s="40"/>
    </row>
    <row r="9" spans="1:14" ht="19.5" customHeight="1">
      <c r="A9" s="152"/>
      <c r="B9" s="28" t="s">
        <v>348</v>
      </c>
      <c r="C9" s="40"/>
      <c r="D9" s="19"/>
      <c r="E9" s="40"/>
      <c r="F9" s="40"/>
      <c r="G9" s="40"/>
      <c r="H9" s="40"/>
      <c r="I9" s="40"/>
      <c r="J9" s="19">
        <v>47</v>
      </c>
      <c r="K9" s="40"/>
      <c r="L9" s="40"/>
      <c r="M9" s="40"/>
      <c r="N9" s="40"/>
    </row>
    <row r="10" spans="1:14" ht="42" customHeight="1">
      <c r="A10" s="152"/>
      <c r="B10" s="28" t="s">
        <v>392</v>
      </c>
      <c r="C10" s="40"/>
      <c r="D10" s="19"/>
      <c r="E10" s="40"/>
      <c r="F10" s="40"/>
      <c r="G10" s="40"/>
      <c r="H10" s="40"/>
      <c r="I10" s="40"/>
      <c r="J10" s="19">
        <v>279.39999999999998</v>
      </c>
      <c r="K10" s="40"/>
      <c r="L10" s="40"/>
      <c r="M10" s="40"/>
      <c r="N10" s="40"/>
    </row>
    <row r="11" spans="1:14" ht="44.25" customHeight="1">
      <c r="A11" s="152"/>
      <c r="B11" s="28" t="s">
        <v>393</v>
      </c>
      <c r="C11" s="40"/>
      <c r="D11" s="19"/>
      <c r="E11" s="40"/>
      <c r="F11" s="40"/>
      <c r="G11" s="40"/>
      <c r="H11" s="40"/>
      <c r="I11" s="40"/>
      <c r="J11" s="19">
        <v>326</v>
      </c>
      <c r="K11" s="40"/>
      <c r="L11" s="40"/>
      <c r="M11" s="40"/>
      <c r="N11" s="40"/>
    </row>
    <row r="12" spans="1:14" ht="42" customHeight="1">
      <c r="A12" s="152"/>
      <c r="B12" s="28" t="s">
        <v>394</v>
      </c>
      <c r="C12" s="40"/>
      <c r="D12" s="19"/>
      <c r="E12" s="40"/>
      <c r="F12" s="40"/>
      <c r="G12" s="40"/>
      <c r="H12" s="40"/>
      <c r="I12" s="40"/>
      <c r="J12" s="19">
        <v>781.2</v>
      </c>
      <c r="K12" s="40"/>
      <c r="L12" s="40"/>
      <c r="M12" s="40"/>
      <c r="N12" s="40"/>
    </row>
    <row r="13" spans="1:14" ht="19.5" customHeight="1">
      <c r="A13" s="152"/>
      <c r="B13" s="28" t="s">
        <v>395</v>
      </c>
      <c r="C13" s="40"/>
      <c r="D13" s="19"/>
      <c r="E13" s="40"/>
      <c r="F13" s="40"/>
      <c r="G13" s="40"/>
      <c r="H13" s="40"/>
      <c r="I13" s="40"/>
      <c r="J13" s="19">
        <v>31.8</v>
      </c>
      <c r="K13" s="40"/>
      <c r="L13" s="40"/>
      <c r="M13" s="40"/>
      <c r="N13" s="40"/>
    </row>
    <row r="14" spans="1:14" ht="39" customHeight="1">
      <c r="A14" s="152"/>
      <c r="B14" s="28" t="s">
        <v>396</v>
      </c>
      <c r="C14" s="40"/>
      <c r="D14" s="19"/>
      <c r="E14" s="40"/>
      <c r="F14" s="40"/>
      <c r="G14" s="40"/>
      <c r="H14" s="40"/>
      <c r="I14" s="40"/>
      <c r="J14" s="19">
        <v>94.6</v>
      </c>
      <c r="K14" s="40"/>
      <c r="L14" s="40"/>
      <c r="M14" s="40"/>
      <c r="N14" s="40"/>
    </row>
    <row r="15" spans="1:14" ht="26.25" customHeight="1">
      <c r="A15" s="152"/>
      <c r="B15" s="28" t="s">
        <v>311</v>
      </c>
      <c r="C15" s="40"/>
      <c r="D15" s="19"/>
      <c r="E15" s="40"/>
      <c r="F15" s="40"/>
      <c r="G15" s="40"/>
      <c r="H15" s="19">
        <v>20.399999999999999</v>
      </c>
      <c r="I15" s="40"/>
      <c r="J15" s="40"/>
      <c r="K15" s="40"/>
      <c r="L15" s="40"/>
      <c r="M15" s="40"/>
      <c r="N15" s="40"/>
    </row>
    <row r="16" spans="1:14" ht="26.25" customHeight="1">
      <c r="A16" s="152"/>
      <c r="B16" s="28" t="s">
        <v>306</v>
      </c>
      <c r="C16" s="40"/>
      <c r="D16" s="19"/>
      <c r="E16" s="40"/>
      <c r="F16" s="40"/>
      <c r="G16" s="40"/>
      <c r="H16" s="19">
        <v>3696.7</v>
      </c>
      <c r="I16" s="40"/>
      <c r="J16" s="40"/>
      <c r="K16" s="40"/>
      <c r="L16" s="40"/>
      <c r="M16" s="40"/>
      <c r="N16" s="40"/>
    </row>
    <row r="17" spans="1:14" ht="26.25" customHeight="1">
      <c r="A17" s="152"/>
      <c r="B17" s="28" t="s">
        <v>307</v>
      </c>
      <c r="C17" s="40"/>
      <c r="D17" s="19"/>
      <c r="E17" s="40"/>
      <c r="F17" s="40"/>
      <c r="G17" s="40"/>
      <c r="H17" s="19">
        <v>186.5</v>
      </c>
      <c r="I17" s="40"/>
      <c r="J17" s="19"/>
      <c r="K17" s="40">
        <f t="shared" ref="K17:K35" si="0">C17+E17+G17+I17</f>
        <v>0</v>
      </c>
      <c r="L17" s="40">
        <f t="shared" ref="L17:L34" si="1">D17+F17+H17+J17</f>
        <v>186.5</v>
      </c>
      <c r="M17" s="40">
        <f t="shared" ref="M17:M32" si="2">K17-L17</f>
        <v>-186.5</v>
      </c>
      <c r="N17" s="93" t="e">
        <f t="shared" ref="N17:N27" si="3">L17/K17*100</f>
        <v>#DIV/0!</v>
      </c>
    </row>
    <row r="18" spans="1:14" ht="39" customHeight="1">
      <c r="A18" s="152"/>
      <c r="B18" s="28" t="s">
        <v>308</v>
      </c>
      <c r="C18" s="40"/>
      <c r="D18" s="19"/>
      <c r="E18" s="40"/>
      <c r="F18" s="40"/>
      <c r="G18" s="40"/>
      <c r="H18" s="19">
        <v>68.099999999999994</v>
      </c>
      <c r="I18" s="40"/>
      <c r="J18" s="19"/>
      <c r="K18" s="40">
        <f t="shared" si="0"/>
        <v>0</v>
      </c>
      <c r="L18" s="40">
        <f t="shared" si="1"/>
        <v>68.099999999999994</v>
      </c>
      <c r="M18" s="40">
        <f t="shared" si="2"/>
        <v>-68.099999999999994</v>
      </c>
      <c r="N18" s="40" t="e">
        <f t="shared" si="3"/>
        <v>#DIV/0!</v>
      </c>
    </row>
    <row r="19" spans="1:14" ht="24.75" customHeight="1">
      <c r="A19" s="152"/>
      <c r="B19" s="28" t="s">
        <v>309</v>
      </c>
      <c r="C19" s="40"/>
      <c r="D19" s="19"/>
      <c r="E19" s="40"/>
      <c r="F19" s="40"/>
      <c r="G19" s="40"/>
      <c r="H19" s="19">
        <v>91.6</v>
      </c>
      <c r="I19" s="40"/>
      <c r="J19" s="19"/>
      <c r="K19" s="40">
        <f t="shared" si="0"/>
        <v>0</v>
      </c>
      <c r="L19" s="40">
        <f t="shared" si="1"/>
        <v>91.6</v>
      </c>
      <c r="M19" s="40">
        <f t="shared" si="2"/>
        <v>-91.6</v>
      </c>
      <c r="N19" s="93" t="e">
        <f t="shared" si="3"/>
        <v>#DIV/0!</v>
      </c>
    </row>
    <row r="20" spans="1:14" ht="36.75" customHeight="1">
      <c r="A20" s="152"/>
      <c r="B20" s="28" t="s">
        <v>310</v>
      </c>
      <c r="C20" s="40"/>
      <c r="D20" s="19"/>
      <c r="E20" s="40"/>
      <c r="F20" s="40"/>
      <c r="G20" s="40"/>
      <c r="H20" s="19">
        <v>239.6</v>
      </c>
      <c r="I20" s="40"/>
      <c r="J20" s="19"/>
      <c r="K20" s="40">
        <f t="shared" si="0"/>
        <v>0</v>
      </c>
      <c r="L20" s="40">
        <f t="shared" si="1"/>
        <v>239.6</v>
      </c>
      <c r="M20" s="40">
        <f t="shared" si="2"/>
        <v>-239.6</v>
      </c>
      <c r="N20" s="93" t="e">
        <f t="shared" si="3"/>
        <v>#DIV/0!</v>
      </c>
    </row>
    <row r="21" spans="1:14" ht="38.25" customHeight="1">
      <c r="A21" s="152"/>
      <c r="B21" s="28" t="s">
        <v>399</v>
      </c>
      <c r="C21" s="40"/>
      <c r="D21" s="19"/>
      <c r="E21" s="40"/>
      <c r="F21" s="40"/>
      <c r="G21" s="40"/>
      <c r="H21" s="19">
        <v>180.4</v>
      </c>
      <c r="I21" s="40"/>
      <c r="J21" s="19"/>
      <c r="K21" s="40"/>
      <c r="L21" s="40"/>
      <c r="M21" s="40"/>
      <c r="N21" s="93"/>
    </row>
    <row r="22" spans="1:14" ht="39.75" customHeight="1">
      <c r="A22" s="152"/>
      <c r="B22" s="28" t="s">
        <v>400</v>
      </c>
      <c r="C22" s="40"/>
      <c r="D22" s="19"/>
      <c r="E22" s="40"/>
      <c r="F22" s="40"/>
      <c r="G22" s="40"/>
      <c r="H22" s="19">
        <v>82</v>
      </c>
      <c r="I22" s="40"/>
      <c r="J22" s="19"/>
      <c r="K22" s="40"/>
      <c r="L22" s="40"/>
      <c r="M22" s="40"/>
      <c r="N22" s="93"/>
    </row>
    <row r="23" spans="1:14" ht="36" customHeight="1">
      <c r="A23" s="152"/>
      <c r="B23" s="28" t="s">
        <v>403</v>
      </c>
      <c r="C23" s="40"/>
      <c r="D23" s="19"/>
      <c r="E23" s="40"/>
      <c r="F23" s="40"/>
      <c r="G23" s="40"/>
      <c r="H23" s="19">
        <v>972.9</v>
      </c>
      <c r="I23" s="40"/>
      <c r="J23" s="19"/>
      <c r="K23" s="40"/>
      <c r="L23" s="40"/>
      <c r="M23" s="40"/>
      <c r="N23" s="93"/>
    </row>
    <row r="24" spans="1:14" ht="20.25" customHeight="1">
      <c r="A24" s="152"/>
      <c r="B24" s="28" t="s">
        <v>401</v>
      </c>
      <c r="C24" s="40"/>
      <c r="D24" s="19"/>
      <c r="E24" s="40"/>
      <c r="F24" s="40"/>
      <c r="G24" s="40"/>
      <c r="H24" s="19">
        <v>122</v>
      </c>
      <c r="I24" s="40"/>
      <c r="J24" s="19"/>
      <c r="K24" s="40"/>
      <c r="L24" s="40"/>
      <c r="M24" s="40"/>
      <c r="N24" s="93"/>
    </row>
    <row r="25" spans="1:14" ht="21" customHeight="1">
      <c r="A25" s="152"/>
      <c r="B25" s="28" t="s">
        <v>402</v>
      </c>
      <c r="C25" s="40"/>
      <c r="D25" s="19"/>
      <c r="E25" s="40"/>
      <c r="F25" s="40"/>
      <c r="G25" s="40"/>
      <c r="H25" s="19">
        <v>34</v>
      </c>
      <c r="I25" s="40"/>
      <c r="J25" s="19"/>
      <c r="K25" s="40"/>
      <c r="L25" s="40"/>
      <c r="M25" s="40"/>
      <c r="N25" s="93"/>
    </row>
    <row r="26" spans="1:14" ht="37.5" customHeight="1">
      <c r="A26" s="152">
        <v>2</v>
      </c>
      <c r="B26" s="136" t="s">
        <v>259</v>
      </c>
      <c r="C26" s="40"/>
      <c r="D26" s="40"/>
      <c r="E26" s="40"/>
      <c r="F26" s="40"/>
      <c r="G26" s="40"/>
      <c r="H26" s="40">
        <f>H27+H28+H29+H30</f>
        <v>2044.9999999999998</v>
      </c>
      <c r="I26" s="40">
        <f>I27</f>
        <v>1700</v>
      </c>
      <c r="J26" s="40"/>
      <c r="K26" s="40">
        <f t="shared" si="0"/>
        <v>1700</v>
      </c>
      <c r="L26" s="40">
        <f>D26+F26+H26+J26</f>
        <v>2044.9999999999998</v>
      </c>
      <c r="M26" s="40">
        <f t="shared" si="2"/>
        <v>-344.99999999999977</v>
      </c>
      <c r="N26" s="40">
        <f t="shared" si="3"/>
        <v>120.29411764705881</v>
      </c>
    </row>
    <row r="27" spans="1:14" ht="61.5" customHeight="1">
      <c r="A27" s="58"/>
      <c r="B27" s="133" t="s">
        <v>312</v>
      </c>
      <c r="C27" s="40"/>
      <c r="D27" s="40"/>
      <c r="E27" s="40"/>
      <c r="F27" s="40"/>
      <c r="G27" s="40"/>
      <c r="H27" s="41">
        <v>1999.6</v>
      </c>
      <c r="I27" s="41">
        <v>1700</v>
      </c>
      <c r="J27" s="41"/>
      <c r="K27" s="40">
        <f t="shared" si="0"/>
        <v>1700</v>
      </c>
      <c r="L27" s="40">
        <f t="shared" si="1"/>
        <v>1999.6</v>
      </c>
      <c r="M27" s="40">
        <f t="shared" si="2"/>
        <v>-299.59999999999991</v>
      </c>
      <c r="N27" s="40">
        <f t="shared" si="3"/>
        <v>117.62352941176471</v>
      </c>
    </row>
    <row r="28" spans="1:14" ht="84" customHeight="1">
      <c r="A28" s="203"/>
      <c r="B28" s="133" t="s">
        <v>349</v>
      </c>
      <c r="C28" s="40"/>
      <c r="D28" s="40"/>
      <c r="E28" s="40"/>
      <c r="F28" s="40"/>
      <c r="G28" s="40"/>
      <c r="H28" s="41">
        <v>21.5</v>
      </c>
      <c r="I28" s="40"/>
      <c r="J28" s="41"/>
      <c r="K28" s="40"/>
      <c r="L28" s="40">
        <f t="shared" si="1"/>
        <v>21.5</v>
      </c>
      <c r="M28" s="40">
        <f t="shared" si="2"/>
        <v>-21.5</v>
      </c>
      <c r="N28" s="40"/>
    </row>
    <row r="29" spans="1:14" ht="37.5" customHeight="1">
      <c r="A29" s="203"/>
      <c r="B29" s="235" t="s">
        <v>389</v>
      </c>
      <c r="C29" s="40"/>
      <c r="D29" s="40"/>
      <c r="E29" s="40"/>
      <c r="F29" s="40"/>
      <c r="G29" s="40"/>
      <c r="H29" s="19">
        <v>19.600000000000001</v>
      </c>
      <c r="I29" s="40"/>
      <c r="J29" s="41"/>
      <c r="K29" s="40"/>
      <c r="L29" s="40">
        <f t="shared" si="1"/>
        <v>19.600000000000001</v>
      </c>
      <c r="M29" s="40"/>
      <c r="N29" s="40"/>
    </row>
    <row r="30" spans="1:14" ht="37.5" customHeight="1">
      <c r="A30" s="203"/>
      <c r="B30" s="235" t="s">
        <v>391</v>
      </c>
      <c r="C30" s="40"/>
      <c r="D30" s="40"/>
      <c r="E30" s="40"/>
      <c r="F30" s="40"/>
      <c r="G30" s="40"/>
      <c r="H30" s="19">
        <v>4.3</v>
      </c>
      <c r="I30" s="40"/>
      <c r="J30" s="41"/>
      <c r="K30" s="40"/>
      <c r="L30" s="40">
        <v>4.3</v>
      </c>
      <c r="M30" s="40"/>
      <c r="N30" s="40"/>
    </row>
    <row r="31" spans="1:14" ht="85.5" customHeight="1">
      <c r="A31" s="203">
        <v>3</v>
      </c>
      <c r="B31" s="168" t="s">
        <v>350</v>
      </c>
      <c r="C31" s="40"/>
      <c r="D31" s="40"/>
      <c r="E31" s="40"/>
      <c r="F31" s="40"/>
      <c r="G31" s="40"/>
      <c r="H31" s="40">
        <f>H32+H33+H34</f>
        <v>597.9</v>
      </c>
      <c r="I31" s="40"/>
      <c r="J31" s="40"/>
      <c r="K31" s="40"/>
      <c r="L31" s="40">
        <f t="shared" si="1"/>
        <v>597.9</v>
      </c>
      <c r="M31" s="40">
        <f t="shared" si="2"/>
        <v>-597.9</v>
      </c>
      <c r="N31" s="40"/>
    </row>
    <row r="32" spans="1:14" ht="85.5" customHeight="1">
      <c r="A32" s="203"/>
      <c r="B32" s="235" t="s">
        <v>343</v>
      </c>
      <c r="C32" s="40"/>
      <c r="D32" s="40"/>
      <c r="E32" s="40"/>
      <c r="F32" s="40"/>
      <c r="G32" s="40"/>
      <c r="H32" s="41">
        <v>135</v>
      </c>
      <c r="I32" s="40"/>
      <c r="J32" s="41"/>
      <c r="K32" s="40"/>
      <c r="L32" s="40">
        <f t="shared" si="1"/>
        <v>135</v>
      </c>
      <c r="M32" s="40">
        <f t="shared" si="2"/>
        <v>-135</v>
      </c>
      <c r="N32" s="40"/>
    </row>
    <row r="33" spans="1:14" ht="38.25" customHeight="1">
      <c r="A33" s="203"/>
      <c r="B33" s="256" t="s">
        <v>383</v>
      </c>
      <c r="C33" s="40"/>
      <c r="D33" s="40"/>
      <c r="E33" s="40"/>
      <c r="F33" s="40"/>
      <c r="G33" s="40"/>
      <c r="H33" s="41">
        <v>454.8</v>
      </c>
      <c r="I33" s="40"/>
      <c r="J33" s="41"/>
      <c r="K33" s="40"/>
      <c r="L33" s="40">
        <f t="shared" si="1"/>
        <v>454.8</v>
      </c>
      <c r="M33" s="40"/>
      <c r="N33" s="40"/>
    </row>
    <row r="34" spans="1:14" ht="61.5" customHeight="1">
      <c r="A34" s="203"/>
      <c r="B34" s="256" t="s">
        <v>384</v>
      </c>
      <c r="C34" s="40"/>
      <c r="D34" s="40"/>
      <c r="E34" s="40"/>
      <c r="F34" s="40"/>
      <c r="G34" s="40"/>
      <c r="H34" s="41">
        <v>8.1</v>
      </c>
      <c r="I34" s="40"/>
      <c r="J34" s="41"/>
      <c r="K34" s="40"/>
      <c r="L34" s="40">
        <f t="shared" si="1"/>
        <v>8.1</v>
      </c>
      <c r="M34" s="40"/>
      <c r="N34" s="40"/>
    </row>
    <row r="35" spans="1:14" ht="24.75" customHeight="1">
      <c r="A35" s="348" t="s">
        <v>7</v>
      </c>
      <c r="B35" s="349"/>
      <c r="C35" s="42"/>
      <c r="D35" s="42"/>
      <c r="E35" s="42"/>
      <c r="F35" s="42">
        <f>F6</f>
        <v>0</v>
      </c>
      <c r="G35" s="42"/>
      <c r="H35" s="42">
        <f>H6+H26+H31</f>
        <v>8337.0999999999985</v>
      </c>
      <c r="I35" s="42">
        <f>I6+I27</f>
        <v>1700</v>
      </c>
      <c r="J35" s="42">
        <f>J6+J26</f>
        <v>2555.0000000000005</v>
      </c>
      <c r="K35" s="40">
        <f t="shared" si="0"/>
        <v>1700</v>
      </c>
      <c r="L35" s="40">
        <f>D35+F35+H35+J35</f>
        <v>10892.099999999999</v>
      </c>
      <c r="M35" s="40">
        <f t="shared" ref="M35" si="4">K35-L35</f>
        <v>-9192.0999999999985</v>
      </c>
      <c r="N35" s="40" t="e">
        <f>N6</f>
        <v>#DIV/0!</v>
      </c>
    </row>
    <row r="36" spans="1:14" s="8" customFormat="1" ht="55.5" customHeight="1">
      <c r="A36" s="43"/>
      <c r="B36" s="353" t="s">
        <v>130</v>
      </c>
      <c r="C36" s="353"/>
      <c r="D36" s="51"/>
      <c r="E36" s="340"/>
      <c r="F36" s="340"/>
      <c r="G36" s="51"/>
      <c r="H36" s="354" t="s">
        <v>240</v>
      </c>
      <c r="I36" s="354"/>
      <c r="J36" s="94"/>
      <c r="K36" s="43"/>
      <c r="L36" s="278"/>
      <c r="M36" s="43"/>
      <c r="N36" s="43"/>
    </row>
    <row r="37" spans="1:14" s="2" customFormat="1" ht="19.5" customHeight="1">
      <c r="A37" s="25"/>
      <c r="B37" s="25" t="s">
        <v>8</v>
      </c>
      <c r="C37" s="59"/>
      <c r="D37" s="59"/>
      <c r="E37" s="352" t="s">
        <v>243</v>
      </c>
      <c r="F37" s="352"/>
      <c r="G37" s="275"/>
      <c r="H37" s="339" t="s">
        <v>14</v>
      </c>
      <c r="I37" s="339"/>
      <c r="J37" s="275"/>
      <c r="K37" s="275"/>
      <c r="L37" s="25"/>
      <c r="M37" s="25"/>
      <c r="N37" s="25"/>
    </row>
    <row r="38" spans="1:14" ht="20.100000000000001" customHeight="1">
      <c r="B38" s="196"/>
      <c r="C38" s="44"/>
      <c r="D38" s="44"/>
      <c r="E38" s="44"/>
      <c r="F38" s="44"/>
    </row>
    <row r="39" spans="1:14" s="342" customFormat="1" ht="19.149999999999999" customHeight="1">
      <c r="A39" s="341" t="s">
        <v>46</v>
      </c>
    </row>
    <row r="42" spans="1:14">
      <c r="B42" s="45"/>
    </row>
  </sheetData>
  <mergeCells count="15">
    <mergeCell ref="H37:I37"/>
    <mergeCell ref="E36:F36"/>
    <mergeCell ref="A1:M1"/>
    <mergeCell ref="A39:XFD39"/>
    <mergeCell ref="A3:A4"/>
    <mergeCell ref="K3:N3"/>
    <mergeCell ref="A35:B35"/>
    <mergeCell ref="B3:B4"/>
    <mergeCell ref="I3:J3"/>
    <mergeCell ref="G3:H3"/>
    <mergeCell ref="E3:F3"/>
    <mergeCell ref="C3:D3"/>
    <mergeCell ref="E37:F37"/>
    <mergeCell ref="B36:C36"/>
    <mergeCell ref="H36:I36"/>
  </mergeCells>
  <phoneticPr fontId="3" type="noConversion"/>
  <printOptions horizontalCentered="1"/>
  <pageMargins left="0.39370078740157483" right="0.39370078740157483" top="0.78740157480314965" bottom="0.39370078740157483" header="0.19685039370078741" footer="0.31496062992125984"/>
  <pageSetup paperSize="9" scale="6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джерелами'!Область_друку</vt:lpstr>
      <vt:lpstr>'Розшифровка кап'!Область_друку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2024-11-04T07:23:14Z</cp:lastPrinted>
  <dcterms:created xsi:type="dcterms:W3CDTF">2003-03-13T16:00:22Z</dcterms:created>
  <dcterms:modified xsi:type="dcterms:W3CDTF">2024-11-11T13:58:22Z</dcterms:modified>
</cp:coreProperties>
</file>